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toskucheva\Desktop\11.10.2022\"/>
    </mc:Choice>
  </mc:AlternateContent>
  <xr:revisionPtr revIDLastSave="0" documentId="13_ncr:1_{E36ADF90-968E-495D-BF05-D5A1548697C8}" xr6:coauthVersionLast="47" xr6:coauthVersionMax="47" xr10:uidLastSave="{00000000-0000-0000-0000-000000000000}"/>
  <bookViews>
    <workbookView xWindow="-108" yWindow="-108" windowWidth="23256" windowHeight="12576" tabRatio="896" firstSheet="1" activeTab="10" xr2:uid="{00000000-000D-0000-FFFF-FFFF00000000}"/>
  </bookViews>
  <sheets>
    <sheet name="Инструкция" sheetId="9" r:id="rId1"/>
    <sheet name="Сравнение Рх показателей" sheetId="62" r:id="rId2"/>
    <sheet name="Вводные" sheetId="53" r:id="rId3"/>
    <sheet name="Total_fin" sheetId="54" r:id="rId4"/>
    <sheet name="Summary_офт-фарма" sheetId="33" r:id="rId5"/>
    <sheet name="PL OFT_2" sheetId="47" r:id="rId6"/>
    <sheet name="Revenue OFT_2" sheetId="48" r:id="rId7"/>
    <sheet name="Payroll_OFT_2" sheetId="49" r:id="rId8"/>
    <sheet name="PL Optic_2" sheetId="51" r:id="rId9"/>
    <sheet name="Revenue_Optic_2" sheetId="50" r:id="rId10"/>
    <sheet name="Payroll_Optic_2" sheetId="5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xlfn_SHEET">#N/A</definedName>
    <definedName name="_2_Wire_Line_monthly">'[1]Key Drivers'!$A$768:$IV$789</definedName>
    <definedName name="_2_Wire_Line_monthly_GPSI">'[2]Key Drivers GPSI'!$A$657:$IV$674</definedName>
    <definedName name="_2_Wire_Line_Number_of_New_Lines">'[1]Key Drivers'!$A$724:$IV$745</definedName>
    <definedName name="_2_Wire_Line_one_time">'[1]Key Drivers'!$A$746:$IV$767</definedName>
    <definedName name="_2_Wire_Line_one_time_GPSI">'[2]Key Drivers GPSI'!$A$639:$IV$656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Utl1">#REF!</definedName>
    <definedName name="_xlnm._FilterDatabase" localSheetId="7" hidden="1">Payroll_OFT_2!$A$4:$AW$42</definedName>
    <definedName name="AccountType">#REF!</definedName>
    <definedName name="Aggr_GTS_Average_intercity_tariff">'[1]Key Drivers'!$A$910:$IV$927</definedName>
    <definedName name="Aggr_GTS_Average_intercity_tariff_GPSI">'[2]Key Drivers '!$A$783:$IV$800</definedName>
    <definedName name="Aggr_GTS_Average_international_tariff">'[1]Key Drivers'!$A$953:$IV$970</definedName>
    <definedName name="Aggr_GTS_Average_international_tariff_GPSI">'[2]Key Drivers GPSI'!$A$826:$IV$843</definedName>
    <definedName name="Aggr_GTS_Number_of_intercity_minutes_per_line">'[1]Key Drivers'!$A$883:$IV$909</definedName>
    <definedName name="Aggr_GTS_Number_of_international_min._per_line">'[1]Key Drivers'!$A$928:$IV$952</definedName>
    <definedName name="Aggr_GTS_Number_of_new_lines">'[1]Key Drivers'!$A$856:$IV$882</definedName>
    <definedName name="Attr_Values">#REF!</definedName>
    <definedName name="AttrValues">#REF!</definedName>
    <definedName name="Average_Channel_Size" localSheetId="1">#REF!</definedName>
    <definedName name="Average_Channel_Size">#REF!</definedName>
    <definedName name="Average_VI_Customer_Market_Share" localSheetId="1">#REF!</definedName>
    <definedName name="Average_VI_Customer_Market_Share">#REF!</definedName>
    <definedName name="BC_Average_intercity_tariff">'[1]Key Drivers'!$A$1015:$IV$1036</definedName>
    <definedName name="BC_Average_intercity_tariff_GPSI">'[2]Key Drivers GPSI'!$A$880:$IV$897</definedName>
    <definedName name="BC_Average_international_tariff">'[1]Key Drivers'!$A$1059:$IV$1080</definedName>
    <definedName name="BC_Average_international_tariff_GPSI">'[2]Key Drivers GPSI'!$A$916:$IV$933</definedName>
    <definedName name="BC_Number_of_intercity_minutes_per_line">'[1]Key Drivers'!$A$993:$IV$1014</definedName>
    <definedName name="BC_Number_of_international_min._per_line">'[1]Key Drivers'!$A$1037:$IV$1058</definedName>
    <definedName name="BC_Number_of_new_lines">'[1]Key Drivers'!$A$971:$IV$992</definedName>
    <definedName name="Bi_Sector" localSheetId="1">#REF!</definedName>
    <definedName name="Bi_Sector">#REF!</definedName>
    <definedName name="Bit_Rate_TS" localSheetId="1">#REF!</definedName>
    <definedName name="Bit_Rate_TS">#REF!</definedName>
    <definedName name="BTS_Coverage_Plan" localSheetId="1">#REF!</definedName>
    <definedName name="BTS_Coverage_Plan">#REF!</definedName>
    <definedName name="Capital_Customer_Driven_Equipment" localSheetId="1">#REF!</definedName>
    <definedName name="Capital_Customer_Driven_Equipment">#REF!</definedName>
    <definedName name="ch_acc" localSheetId="1">#REF!</definedName>
    <definedName name="ch_acc">#REF!</definedName>
    <definedName name="Circuit_Switched_Traffic_in_the_BH" localSheetId="1">#REF!</definedName>
    <definedName name="Circuit_Switched_Traffic_in_the_BH">#REF!</definedName>
    <definedName name="Consol">[3]!Consol</definedName>
    <definedName name="Data" comment="Для сводных таблиц книги" localSheetId="1">#REF!</definedName>
    <definedName name="Data" comment="Для сводных таблиц книги">#REF!</definedName>
    <definedName name="Data_rate_within_Timeslot" localSheetId="1">#REF!</definedName>
    <definedName name="Data_rate_within_Timeslot">#REF!</definedName>
    <definedName name="DataStorage">#REF!</definedName>
    <definedName name="DataType">#REF!</definedName>
    <definedName name="Dims">#REF!</definedName>
    <definedName name="DimValues">#REF!</definedName>
    <definedName name="DPP_Installation_fee">'[1]Key Drivers'!$A$680:$IV$701</definedName>
    <definedName name="DPP_Installation_fee_GPSI">'[2]Key Drivers GPSI'!$A$583:$IV$601</definedName>
    <definedName name="DPP_Monthly_fee">'[1]Key Drivers'!$A$702:$IV$723</definedName>
    <definedName name="DPP_Monthly_fee_GPSI">'[2]Key Drivers GPSI'!$A$602:$IV$620</definedName>
    <definedName name="DPP_Number_of_new_lines">'[1]Key Drivers'!$A$658:$IV$679</definedName>
    <definedName name="Excel_BuiltIn_Print_Area_2" localSheetId="1">#REF!</definedName>
    <definedName name="Excel_BuiltIn_Print_Area_2">#REF!</definedName>
    <definedName name="ExchangeRateType">#REF!</definedName>
    <definedName name="GPRS_Switched_ON" localSheetId="1">#REF!</definedName>
    <definedName name="GPRS_Switched_ON">#REF!</definedName>
    <definedName name="hh" localSheetId="6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hh" localSheetId="3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hh" localSheetId="1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hh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HierValues">#REF!</definedName>
    <definedName name="HTML_CodePage" hidden="1">1251</definedName>
    <definedName name="HTML_Control" localSheetId="6" hidden="1">{"'602012'!$A$3:$M$11"}</definedName>
    <definedName name="HTML_Control" localSheetId="3" hidden="1">{"'602012'!$A$3:$M$11"}</definedName>
    <definedName name="HTML_Control" localSheetId="1" hidden="1">{"'602012'!$A$3:$M$11"}</definedName>
    <definedName name="HTML_Control" hidden="1">{"'602012'!$A$3:$M$11"}</definedName>
    <definedName name="HTML_Description" hidden="1">""</definedName>
    <definedName name="HTML_Email" hidden="1">""</definedName>
    <definedName name="HTML_Header" hidden="1">"602012"</definedName>
    <definedName name="HTML_LastUpdate" hidden="1">"21/06/99"</definedName>
    <definedName name="HTML_LineAfter" hidden="1">FALSE</definedName>
    <definedName name="HTML_LineBefore" hidden="1">FALSE</definedName>
    <definedName name="HTML_Name" hidden="1">"Sveta"</definedName>
    <definedName name="HTML_OBDlg2" hidden="1">TRUE</definedName>
    <definedName name="HTML_OBDlg4" hidden="1">TRUE</definedName>
    <definedName name="HTML_OS" hidden="1">0</definedName>
    <definedName name="HTML_PathFile" hidden="1">"G:\JEVLAKOV\1999\MyHTML.htm"</definedName>
    <definedName name="HTML_Title" hidden="1">"99-6"</definedName>
    <definedName name="Inflation_Series" localSheetId="1">#REF!</definedName>
    <definedName name="Inflation_Series">#REF!</definedName>
    <definedName name="Input_table1" localSheetId="1">#REF!</definedName>
    <definedName name="Input_table1">#REF!</definedName>
    <definedName name="Input_table2" localSheetId="1">#REF!</definedName>
    <definedName name="Input_table2">#REF!</definedName>
    <definedName name="Interest_basis" localSheetId="1">#REF!</definedName>
    <definedName name="Interest_basis">#REF!</definedName>
    <definedName name="Interest_basis1" localSheetId="1">#REF!</definedName>
    <definedName name="Interest_basis1">#REF!</definedName>
    <definedName name="Interest_copy" localSheetId="1">#REF!</definedName>
    <definedName name="Interest_copy">#REF!</definedName>
    <definedName name="Interest_copy1" localSheetId="1">#REF!</definedName>
    <definedName name="Interest_copy1">#REF!</definedName>
    <definedName name="MC_Average_intercity_tariff">'[1]Key Drivers'!$A$306:$IV$327</definedName>
    <definedName name="MC_Average_intercity_tariff_GPSI">'[2]Key Drivers GPSI'!$A$266:$IV$283</definedName>
    <definedName name="MC_Average_international_tariff">'[1]Key Drivers'!$A$350:$IV$371</definedName>
    <definedName name="MC_Average_international_tariff_GPSI">'[2]Key Drivers GPSI'!$A$302:$IV$319</definedName>
    <definedName name="MC_Monthly_fee">'[1]Key Drivers'!$A$262:$IV$283</definedName>
    <definedName name="MC_Number_of_intercity_minutes_per_line">'[1]Key Drivers'!$A$284:$IV$305</definedName>
    <definedName name="MC_Number_of_international_min._per_line">'[1]Key Drivers'!$A$328:$IV$349</definedName>
    <definedName name="MC_Number_of_new_lines">'[1]Key Drivers'!$A$222:$IV$243</definedName>
    <definedName name="Minutes_per_BH_Erlang" localSheetId="1">#REF!</definedName>
    <definedName name="Minutes_per_BH_Erlang">#REF!</definedName>
    <definedName name="Model1_1">#REF!</definedName>
    <definedName name="MWL" localSheetId="1">#REF!</definedName>
    <definedName name="MWL">#REF!</definedName>
    <definedName name="Number_of_Timeslots" localSheetId="1">#REF!</definedName>
    <definedName name="Number_of_Timeslots">#REF!</definedName>
    <definedName name="Omni_Sector" localSheetId="1">#REF!</definedName>
    <definedName name="Omni_Sector">#REF!</definedName>
    <definedName name="Other_Revenue_from_customers">'[1]Key Drivers'!$A$1147:$IV$1164</definedName>
    <definedName name="Packet_Data_Traffic_in_the_BH" localSheetId="1">#REF!</definedName>
    <definedName name="Packet_Data_Traffic_in_the_BH">#REF!</definedName>
    <definedName name="PCM_4_monthly">'[1]Key Drivers'!$A$834:$IV$855</definedName>
    <definedName name="PCM_4_monthly_GPSI">'[2]Key Drivers GPSI'!$A$711:$IV$728</definedName>
    <definedName name="PCM_4_Number_of_New_Lines">'[1]Key Drivers'!$A$790:$IV$811</definedName>
    <definedName name="PCM_4_one_time">'[1]Key Drivers'!$A$812:$IV$833</definedName>
    <definedName name="PCM_4_one_time_GPSI">'[2]Key Drivers GPSI'!$A$693:$IV$710</definedName>
    <definedName name="Plan1Aggregation">#REF!</definedName>
    <definedName name="ppp" localSheetId="6" hidden="1">{"'602012'!$A$3:$M$11"}</definedName>
    <definedName name="ppp" localSheetId="3" hidden="1">{"'602012'!$A$3:$M$11"}</definedName>
    <definedName name="ppp" localSheetId="1" hidden="1">{"'602012'!$A$3:$M$11"}</definedName>
    <definedName name="ppp" hidden="1">{"'602012'!$A$3:$M$11"}</definedName>
    <definedName name="Price_Trend" localSheetId="1">#REF!</definedName>
    <definedName name="Price_Trend">#REF!</definedName>
    <definedName name="qqq" localSheetId="6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qqq" localSheetId="3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qqq" localSheetId="1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qqq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Reference_Input_Channels">[4]Channels!$C$253:$P$313</definedName>
    <definedName name="SkipValue">#REF!</definedName>
    <definedName name="Sovintel_Incoming_Minutes">'[1]Key Drivers'!$A$2017:$IV$2034</definedName>
    <definedName name="Sovintel_Incoming_Tariff">'[1]Key Drivers'!$A$2036:$IV$2053</definedName>
    <definedName name="Sovintel_Incoming_Tariff_GPSI">'[2]Key Drivers GPSI'!$A$1804:$IV$1821</definedName>
    <definedName name="Switch_C">'[5]Standart Cost Rate'!$C$1</definedName>
    <definedName name="Switch_MC">'[6]Managed Capacity'!$B$2</definedName>
    <definedName name="Switch_R">'[5]Marketing Assumption HL'!$C$1</definedName>
    <definedName name="Swtch_Average_Intercity_Tariff">'[1]Key Drivers'!$A$1125:$IV$1146</definedName>
    <definedName name="Swtch_Average_Intercity_Tariff_GPSI">'[2]Key Drivers GPSI'!$A$970:$IV$987</definedName>
    <definedName name="Swtch_Number_of_intercity_minutes_per_line">'[1]Key Drivers'!$A$1103:$IV$1124</definedName>
    <definedName name="Swtch_Number_of_new_lines">'[1]Key Drivers'!$A$1081:$IV$1102</definedName>
    <definedName name="Table">#REF!</definedName>
    <definedName name="Tax" localSheetId="6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Tax" localSheetId="3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Tax" localSheetId="1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Tax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TEST0">#REF!</definedName>
    <definedName name="TESTHKEY">#REF!</definedName>
    <definedName name="TESTKEYS">#REF!</definedName>
    <definedName name="TESTVKEY">#REF!</definedName>
    <definedName name="TimeBalance">#REF!</definedName>
    <definedName name="Traffic_Channels_per_Carrier" localSheetId="1">#REF!</definedName>
    <definedName name="Traffic_Channels_per_Carrier">#REF!</definedName>
    <definedName name="Traffic_Split" localSheetId="1">#REF!</definedName>
    <definedName name="Traffic_Split">#REF!</definedName>
    <definedName name="Tri_Sector" localSheetId="1">#REF!</definedName>
    <definedName name="Tri_Sector">#REF!</definedName>
    <definedName name="VarianceReporting">#REF!</definedName>
    <definedName name="VI_Customer_Market_Share" localSheetId="1">#REF!</definedName>
    <definedName name="VI_Customer_Market_Share">#REF!</definedName>
    <definedName name="WAC_Average_intercity_tariff">'[1]Key Drivers'!$A$438:$IV$459</definedName>
    <definedName name="WAC_Average_intercity_tariff_GPSI">'[2]Key Drivers GPSI'!$A$377:$IV$395</definedName>
    <definedName name="WAC_Average_international_tariff">'[1]Key Drivers'!$A$482:$IV$503</definedName>
    <definedName name="WAC_Average_international_tariff_GPSI">'[2]Key Drivers GPSI'!$A$415:$IV$433</definedName>
    <definedName name="WAC_Number_of_intercity_minutes_per_card">'[1]Key Drivers'!$A$416:$IV$437</definedName>
    <definedName name="WAC_Number_of_international_min._per_card">'[1]Key Drivers'!$A$460:$IV$481</definedName>
    <definedName name="WAC_Number_of_new_cards">'[1]Key Drivers'!$A$372:$IV$393</definedName>
    <definedName name="WAC_Registration_fee">'[1]Key Drivers'!$A$394:$IV$415</definedName>
    <definedName name="WAC_Registration_fee_GPSI">'[2]Key Drivers GPSI'!$A$339:$IV$357</definedName>
    <definedName name="WAD_Average_intercity_tariff">'[1]Key Drivers'!$A$592:$IV$613</definedName>
    <definedName name="WAD_Average_intercity_tariff_GPSI">'[2]Key Drivers GPSI'!$A$510:$IV$527</definedName>
    <definedName name="WAD_Average_international_tariff">'[1]Key Drivers'!$A$636:$IV$657</definedName>
    <definedName name="WAD_Average_international_tariff_GPSI">'[2]Key Drivers GPSI'!$A$546:$IV$563</definedName>
    <definedName name="WAD_Installation_fee">'[1]Key Drivers'!$A$526:$IV$547</definedName>
    <definedName name="WAD_Installation_fee_GPSI">'[2]Key Drivers GPSI'!$A$452:$IV$469</definedName>
    <definedName name="WAD_Monthly_Fee">'[1]Key Drivers'!$A$548:$IV$569</definedName>
    <definedName name="WAD_Monthly_Fee_GPSI">'[2]Key Drivers GPSI'!$A$470:$IV$491</definedName>
    <definedName name="WAD_Number_of_intercity_minutes_per_line">'[1]Key Drivers'!$A$570:$IV$591</definedName>
    <definedName name="WAD_Number_of_international_min._per_line">'[1]Key Drivers'!$A$614:$IV$635</definedName>
    <definedName name="WAD_Number_of_new_lines">'[1]Key Drivers'!$A$504:$IV$525</definedName>
    <definedName name="WCD_RCD_Average_intercity_tariff">'[1]Key Drivers'!$A$132:$IV$155</definedName>
    <definedName name="WCD_RCD_Average_intercity_tariff_GPSI">'[2]Key Drivers GPSI'!$A$116:$IV$135</definedName>
    <definedName name="WCD_RCD_Average_international_tariff">'[1]Key Drivers'!$A$198:$IV$221</definedName>
    <definedName name="WCD_RCD_Average_international_tariff_GPSI">'[2]Key Drivers GPSI'!$A$174:$IV$193</definedName>
    <definedName name="WCD_RCD_Installation_fee">'[1]Key Drivers'!$A$46:$IV$67</definedName>
    <definedName name="WCD_RCD_Installation_fee_GPSI">'[2]Key Drivers GPSI'!$A$42:$IV$59</definedName>
    <definedName name="WCD_RCD_Monthly_fee">'[1]Key Drivers'!$A$68:$IV$89</definedName>
    <definedName name="WCD_RCD_Monthly_fee_GPSI">'[2]Key Drivers GPSI'!$A$60:$IV$77</definedName>
    <definedName name="WCD_RCD_Number_of_intercity_minutes_per_line">'[1]Key Drivers'!$A$90:$IV$111</definedName>
    <definedName name="WCD_RCD_Number_of_international_min._per_line">'[1]Key Drivers'!$A$156:$IV$177</definedName>
    <definedName name="WCD_RCD_Number_of_new_lines">'[1]Key Drivers'!$A$24:$IV$45</definedName>
    <definedName name="wrn.All." localSheetId="6" hidden="1">{#N/A,#N/A,TRUE,"Income";#N/A,#N/A,TRUE,"Expenses";#N/A,#N/A,TRUE,"Taxes";#N/A,#N/A,TRUE,"P&amp;L";#N/A,#N/A,TRUE,"Profit";#N/A,#N/A,TRUE,"Balance";#N/A,#N/A,TRUE,"OFF";#N/A,#N/A,TRUE,"Capital";#N/A,#N/A,TRUE,"Investments Details";#N/A,#N/A,TRUE,"Comparison"}</definedName>
    <definedName name="wrn.All." localSheetId="3" hidden="1">{#N/A,#N/A,TRUE,"Income";#N/A,#N/A,TRUE,"Expenses";#N/A,#N/A,TRUE,"Taxes";#N/A,#N/A,TRUE,"P&amp;L";#N/A,#N/A,TRUE,"Profit";#N/A,#N/A,TRUE,"Balance";#N/A,#N/A,TRUE,"OFF";#N/A,#N/A,TRUE,"Capital";#N/A,#N/A,TRUE,"Investments Details";#N/A,#N/A,TRUE,"Comparison"}</definedName>
    <definedName name="wrn.All." localSheetId="1" hidden="1">{#N/A,#N/A,TRUE,"Income";#N/A,#N/A,TRUE,"Expenses";#N/A,#N/A,TRUE,"Taxes";#N/A,#N/A,TRUE,"P&amp;L";#N/A,#N/A,TRUE,"Profit";#N/A,#N/A,TRUE,"Balance";#N/A,#N/A,TRUE,"OFF";#N/A,#N/A,TRUE,"Capital";#N/A,#N/A,TRUE,"Investments Details";#N/A,#N/A,TRUE,"Comparison"}</definedName>
    <definedName name="wrn.All." hidden="1">{#N/A,#N/A,TRUE,"Income";#N/A,#N/A,TRUE,"Expenses";#N/A,#N/A,TRUE,"Taxes";#N/A,#N/A,TRUE,"P&amp;L";#N/A,#N/A,TRUE,"Profit";#N/A,#N/A,TRUE,"Balance";#N/A,#N/A,TRUE,"OFF";#N/A,#N/A,TRUE,"Capital";#N/A,#N/A,TRUE,"Investments Details";#N/A,#N/A,TRUE,"Comparison"}</definedName>
    <definedName name="wrn.All._.Variants." localSheetId="6" hidden="1">{#N/A,"V1",FALSE,"Summary";#N/A,"V2",FALSE,"Summary";#N/A,"V9",FALSE,"Summary";#N/A,"V3",FALSE,"Summary";#N/A,"V8",FALSE,"Summary";#N/A,"v10",FALSE,"Summary";#N/A,"V4",FALSE,"Summary";#N/A,"V5",FALSE,"Summary";#N/A,"V6",FALSE,"Summary";#N/A,"V7",FALSE,"Summary"}</definedName>
    <definedName name="wrn.All._.Variants." localSheetId="3" hidden="1">{#N/A,"V1",FALSE,"Summary";#N/A,"V2",FALSE,"Summary";#N/A,"V9",FALSE,"Summary";#N/A,"V3",FALSE,"Summary";#N/A,"V8",FALSE,"Summary";#N/A,"v10",FALSE,"Summary";#N/A,"V4",FALSE,"Summary";#N/A,"V5",FALSE,"Summary";#N/A,"V6",FALSE,"Summary";#N/A,"V7",FALSE,"Summary"}</definedName>
    <definedName name="wrn.All._.Variants." localSheetId="1" hidden="1">{#N/A,"V1",FALSE,"Summary";#N/A,"V2",FALSE,"Summary";#N/A,"V9",FALSE,"Summary";#N/A,"V3",FALSE,"Summary";#N/A,"V8",FALSE,"Summary";#N/A,"v10",FALSE,"Summary";#N/A,"V4",FALSE,"Summary";#N/A,"V5",FALSE,"Summary";#N/A,"V6",FALSE,"Summary";#N/A,"V7",FALSE,"Summary"}</definedName>
    <definedName name="wrn.All._.Variants." hidden="1">{#N/A,"V1",FALSE,"Summary";#N/A,"V2",FALSE,"Summary";#N/A,"V9",FALSE,"Summary";#N/A,"V3",FALSE,"Summary";#N/A,"V8",FALSE,"Summary";#N/A,"v10",FALSE,"Summary";#N/A,"V4",FALSE,"Summary";#N/A,"V5",FALSE,"Summary";#N/A,"V6",FALSE,"Summary";#N/A,"V7",FALSE,"Summary"}</definedName>
    <definedName name="wrn.English." localSheetId="6" hidden="1">{"English",#N/A,TRUE,"Expenses";"English",#N/A,TRUE,"Income";"English",#N/A,TRUE,"Taxes";"English",#N/A,TRUE,"P&amp;L";"English",#N/A,TRUE,"Profit";"English",#N/A,TRUE,"Balance";"English",#N/A,TRUE,"OFF";"English",#N/A,TRUE,"Investments Details"}</definedName>
    <definedName name="wrn.English." localSheetId="3" hidden="1">{"English",#N/A,TRUE,"Expenses";"English",#N/A,TRUE,"Income";"English",#N/A,TRUE,"Taxes";"English",#N/A,TRUE,"P&amp;L";"English",#N/A,TRUE,"Profit";"English",#N/A,TRUE,"Balance";"English",#N/A,TRUE,"OFF";"English",#N/A,TRUE,"Investments Details"}</definedName>
    <definedName name="wrn.English." localSheetId="1" hidden="1">{"English",#N/A,TRUE,"Expenses";"English",#N/A,TRUE,"Income";"English",#N/A,TRUE,"Taxes";"English",#N/A,TRUE,"P&amp;L";"English",#N/A,TRUE,"Profit";"English",#N/A,TRUE,"Balance";"English",#N/A,TRUE,"OFF";"English",#N/A,TRUE,"Investments Details"}</definedName>
    <definedName name="wrn.English." hidden="1">{"English",#N/A,TRUE,"Expenses";"English",#N/A,TRUE,"Income";"English",#N/A,TRUE,"Taxes";"English",#N/A,TRUE,"P&amp;L";"English",#N/A,TRUE,"Profit";"English",#N/A,TRUE,"Balance";"English",#N/A,TRUE,"OFF";"English",#N/A,TRUE,"Investments Details"}</definedName>
    <definedName name="wrn.gghjgj." localSheetId="6" hidden="1">{#N/A,#N/A,FALSE,"InterCo Settlements"}</definedName>
    <definedName name="wrn.gghjgj." localSheetId="3" hidden="1">{#N/A,#N/A,FALSE,"InterCo Settlements"}</definedName>
    <definedName name="wrn.gghjgj." localSheetId="1" hidden="1">{#N/A,#N/A,FALSE,"InterCo Settlements"}</definedName>
    <definedName name="wrn.gghjgj." hidden="1">{#N/A,#N/A,FALSE,"InterCo Settlements"}</definedName>
    <definedName name="wrn.Kozanov." localSheetId="6" hidden="1">{"Comparison_Total",#N/A,FALSE,"Comparison"}</definedName>
    <definedName name="wrn.Kozanov." localSheetId="3" hidden="1">{"Comparison_Total",#N/A,FALSE,"Comparison"}</definedName>
    <definedName name="wrn.Kozanov." localSheetId="1" hidden="1">{"Comparison_Total",#N/A,FALSE,"Comparison"}</definedName>
    <definedName name="wrn.Kozanov." hidden="1">{"Comparison_Total",#N/A,FALSE,"Comparison"}</definedName>
    <definedName name="wrn.October._.94." localSheetId="6" hidden="1">{#N/A,#N/A,FALSE,"Income";#N/A,#N/A,FALSE,"Comparison";#N/A,#N/A,FALSE,"Expenses";#N/A,#N/A,FALSE,"Taxes";#N/A,#N/A,FALSE,"P&amp;L";#N/A,#N/A,FALSE,"Profit";#N/A,#N/A,FALSE,"Balance";#N/A,#N/A,FALSE,"OFF";#N/A,#N/A,FALSE,"Capital";#N/A,#N/A,FALSE,"New Project";#N/A,#N/A,FALSE,"Parameters";#N/A,#N/A,FALSE,"Investments"}</definedName>
    <definedName name="wrn.October._.94." localSheetId="3" hidden="1">{#N/A,#N/A,FALSE,"Income";#N/A,#N/A,FALSE,"Comparison";#N/A,#N/A,FALSE,"Expenses";#N/A,#N/A,FALSE,"Taxes";#N/A,#N/A,FALSE,"P&amp;L";#N/A,#N/A,FALSE,"Profit";#N/A,#N/A,FALSE,"Balance";#N/A,#N/A,FALSE,"OFF";#N/A,#N/A,FALSE,"Capital";#N/A,#N/A,FALSE,"New Project";#N/A,#N/A,FALSE,"Parameters";#N/A,#N/A,FALSE,"Investments"}</definedName>
    <definedName name="wrn.October._.94." localSheetId="1" hidden="1">{#N/A,#N/A,FALSE,"Income";#N/A,#N/A,FALSE,"Comparison";#N/A,#N/A,FALSE,"Expenses";#N/A,#N/A,FALSE,"Taxes";#N/A,#N/A,FALSE,"P&amp;L";#N/A,#N/A,FALSE,"Profit";#N/A,#N/A,FALSE,"Balance";#N/A,#N/A,FALSE,"OFF";#N/A,#N/A,FALSE,"Capital";#N/A,#N/A,FALSE,"New Project";#N/A,#N/A,FALSE,"Parameters";#N/A,#N/A,FALSE,"Investments"}</definedName>
    <definedName name="wrn.October._.94." hidden="1">{#N/A,#N/A,FALSE,"Income";#N/A,#N/A,FALSE,"Comparison";#N/A,#N/A,FALSE,"Expenses";#N/A,#N/A,FALSE,"Taxes";#N/A,#N/A,FALSE,"P&amp;L";#N/A,#N/A,FALSE,"Profit";#N/A,#N/A,FALSE,"Balance";#N/A,#N/A,FALSE,"OFF";#N/A,#N/A,FALSE,"Capital";#N/A,#N/A,FALSE,"New Project";#N/A,#N/A,FALSE,"Parameters";#N/A,#N/A,FALSE,"Investments"}</definedName>
    <definedName name="wrn.Russian." localSheetId="6" hidden="1">{"Russian",#N/A,TRUE,"Income";"Russian",#N/A,TRUE,"Expenses";"Russian",#N/A,TRUE,"Taxes";"Russian",#N/A,TRUE,"P&amp;L";"Russian",#N/A,TRUE,"Profit";"Russian",#N/A,TRUE,"Balance";"Russian",#N/A,TRUE,"OFF";"Russian",#N/A,TRUE,"Investments Details"}</definedName>
    <definedName name="wrn.Russian." localSheetId="3" hidden="1">{"Russian",#N/A,TRUE,"Income";"Russian",#N/A,TRUE,"Expenses";"Russian",#N/A,TRUE,"Taxes";"Russian",#N/A,TRUE,"P&amp;L";"Russian",#N/A,TRUE,"Profit";"Russian",#N/A,TRUE,"Balance";"Russian",#N/A,TRUE,"OFF";"Russian",#N/A,TRUE,"Investments Details"}</definedName>
    <definedName name="wrn.Russian." localSheetId="1" hidden="1">{"Russian",#N/A,TRUE,"Income";"Russian",#N/A,TRUE,"Expenses";"Russian",#N/A,TRUE,"Taxes";"Russian",#N/A,TRUE,"P&amp;L";"Russian",#N/A,TRUE,"Profit";"Russian",#N/A,TRUE,"Balance";"Russian",#N/A,TRUE,"OFF";"Russian",#N/A,TRUE,"Investments Details"}</definedName>
    <definedName name="wrn.Russian." hidden="1">{"Russian",#N/A,TRUE,"Income";"Russian",#N/A,TRUE,"Expenses";"Russian",#N/A,TRUE,"Taxes";"Russian",#N/A,TRUE,"P&amp;L";"Russian",#N/A,TRUE,"Profit";"Russian",#N/A,TRUE,"Balance";"Russian",#N/A,TRUE,"OFF";"Russian",#N/A,TRUE,"Investments Details"}</definedName>
    <definedName name="wrn.Short." localSheetId="6" hidden="1">{#N/A,#N/A,TRUE,"Summary";#N/A,#N/A,TRUE,"Revenues charts";#N/A,#N/A,TRUE,"Dividends"}</definedName>
    <definedName name="wrn.Short." localSheetId="3" hidden="1">{#N/A,#N/A,TRUE,"Summary";#N/A,#N/A,TRUE,"Revenues charts";#N/A,#N/A,TRUE,"Dividends"}</definedName>
    <definedName name="wrn.Short." localSheetId="1" hidden="1">{#N/A,#N/A,TRUE,"Summary";#N/A,#N/A,TRUE,"Revenues charts";#N/A,#N/A,TRUE,"Dividends"}</definedName>
    <definedName name="wrn.Short." hidden="1">{#N/A,#N/A,TRUE,"Summary";#N/A,#N/A,TRUE,"Revenues charts";#N/A,#N/A,TRUE,"Dividends"}</definedName>
    <definedName name="wrn.St" localSheetId="6" hidden="1">{#N/A,#N/A,TRUE,"Income";#N/A,#N/A,TRUE,"Expenses";#N/A,#N/A,TRUE,"Taxes";#N/A,#N/A,TRUE,"P&amp;L";#N/A,#N/A,TRUE,"Profit";#N/A,#N/A,TRUE,"Balance";#N/A,#N/A,TRUE,"OFF";#N/A,#N/A,TRUE,"Investments Details"}</definedName>
    <definedName name="wrn.St" localSheetId="3" hidden="1">{#N/A,#N/A,TRUE,"Income";#N/A,#N/A,TRUE,"Expenses";#N/A,#N/A,TRUE,"Taxes";#N/A,#N/A,TRUE,"P&amp;L";#N/A,#N/A,TRUE,"Profit";#N/A,#N/A,TRUE,"Balance";#N/A,#N/A,TRUE,"OFF";#N/A,#N/A,TRUE,"Investments Details"}</definedName>
    <definedName name="wrn.St" localSheetId="1" hidden="1">{#N/A,#N/A,TRUE,"Income";#N/A,#N/A,TRUE,"Expenses";#N/A,#N/A,TRUE,"Taxes";#N/A,#N/A,TRUE,"P&amp;L";#N/A,#N/A,TRUE,"Profit";#N/A,#N/A,TRUE,"Balance";#N/A,#N/A,TRUE,"OFF";#N/A,#N/A,TRUE,"Investments Details"}</definedName>
    <definedName name="wrn.St" hidden="1">{#N/A,#N/A,TRUE,"Income";#N/A,#N/A,TRUE,"Expenses";#N/A,#N/A,TRUE,"Taxes";#N/A,#N/A,TRUE,"P&amp;L";#N/A,#N/A,TRUE,"Profit";#N/A,#N/A,TRUE,"Balance";#N/A,#N/A,TRUE,"OFF";#N/A,#N/A,TRUE,"Investments Details"}</definedName>
    <definedName name="wrn.Standart." localSheetId="6" hidden="1">{#N/A,#N/A,TRUE,"Income";#N/A,#N/A,TRUE,"Expenses";#N/A,#N/A,TRUE,"Taxes";#N/A,#N/A,TRUE,"P&amp;L";#N/A,#N/A,TRUE,"Profit";#N/A,#N/A,TRUE,"Balance";#N/A,#N/A,TRUE,"OFF";#N/A,#N/A,TRUE,"Investments Details"}</definedName>
    <definedName name="wrn.Standart." localSheetId="3" hidden="1">{#N/A,#N/A,TRUE,"Income";#N/A,#N/A,TRUE,"Expenses";#N/A,#N/A,TRUE,"Taxes";#N/A,#N/A,TRUE,"P&amp;L";#N/A,#N/A,TRUE,"Profit";#N/A,#N/A,TRUE,"Balance";#N/A,#N/A,TRUE,"OFF";#N/A,#N/A,TRUE,"Investments Details"}</definedName>
    <definedName name="wrn.Standart." localSheetId="1" hidden="1">{#N/A,#N/A,TRUE,"Income";#N/A,#N/A,TRUE,"Expenses";#N/A,#N/A,TRUE,"Taxes";#N/A,#N/A,TRUE,"P&amp;L";#N/A,#N/A,TRUE,"Profit";#N/A,#N/A,TRUE,"Balance";#N/A,#N/A,TRUE,"OFF";#N/A,#N/A,TRUE,"Investments Details"}</definedName>
    <definedName name="wrn.Standart." hidden="1">{#N/A,#N/A,TRUE,"Income";#N/A,#N/A,TRUE,"Expenses";#N/A,#N/A,TRUE,"Taxes";#N/A,#N/A,TRUE,"P&amp;L";#N/A,#N/A,TRUE,"Profit";#N/A,#N/A,TRUE,"Balance";#N/A,#N/A,TRUE,"OFF";#N/A,#N/A,TRUE,"Investments Details"}</definedName>
    <definedName name="YN">#REF!</definedName>
    <definedName name="Z_Autos" localSheetId="1">#REF!</definedName>
    <definedName name="Z_Autos">#REF!</definedName>
    <definedName name="Z_Computers___Other_Office_Equipment" localSheetId="1">#REF!</definedName>
    <definedName name="Z_Computers___Other_Office_Equipment">#REF!</definedName>
    <definedName name="Z_F_F" localSheetId="1">#REF!</definedName>
    <definedName name="Z_F_F">#REF!</definedName>
    <definedName name="Z_LeaseHold_Improvements" localSheetId="1">#REF!</definedName>
    <definedName name="Z_LeaseHold_Improvements">#REF!</definedName>
    <definedName name="Z_Network_Equipment" localSheetId="1">#REF!</definedName>
    <definedName name="Z_Network_Equipment">#REF!</definedName>
    <definedName name="Z_Spares" localSheetId="1">#REF!</definedName>
    <definedName name="Z_Spares">#REF!</definedName>
    <definedName name="а" localSheetId="6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а" localSheetId="3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а" localSheetId="1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а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БЕ">[7]БЕ!$A$2:$A$8</definedName>
    <definedName name="Гед1">#REF!</definedName>
    <definedName name="до" localSheetId="1">#REF!</definedName>
    <definedName name="до">#REF!</definedName>
    <definedName name="Доходы1" localSheetId="1">#REF!</definedName>
    <definedName name="Доходы1">#REF!</definedName>
    <definedName name="ж">#REF!</definedName>
    <definedName name="исапвр" localSheetId="1">#REF!</definedName>
    <definedName name="исапвр">#REF!</definedName>
    <definedName name="лит" localSheetId="1" hidden="1">{#N/A,#N/A,FALSE,"InterCo Settlements"}</definedName>
    <definedName name="лит" hidden="1">{#N/A,#N/A,FALSE,"InterCo Settlements"}</definedName>
    <definedName name="лоп">#REF!</definedName>
    <definedName name="маша" localSheetId="1">#N/A</definedName>
    <definedName name="маша">#REF!</definedName>
    <definedName name="месяц" localSheetId="1">[8]Support!#REF!</definedName>
    <definedName name="месяц">[9]Support!#REF!</definedName>
    <definedName name="_xlnm.Print_Area" localSheetId="1">#REF!</definedName>
    <definedName name="_xlnm.Print_Area">#REF!</definedName>
    <definedName name="ооо" localSheetId="6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ооо" localSheetId="3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ооо" localSheetId="1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ооо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ОП" localSheetId="1">#REF!</definedName>
    <definedName name="ОП">#REF!</definedName>
    <definedName name="орпвп541" localSheetId="1">[8]Support!#REF!</definedName>
    <definedName name="орпвп541">[9]Support!#REF!</definedName>
    <definedName name="па" localSheetId="1">#REF!</definedName>
    <definedName name="па">#REF!</definedName>
    <definedName name="паша" localSheetId="1">#N/A</definedName>
    <definedName name="паша">#REF!</definedName>
    <definedName name="пвыа" localSheetId="1">#REF!</definedName>
    <definedName name="пвыа">#REF!</definedName>
    <definedName name="Процент">[10]Financing!#REF!</definedName>
    <definedName name="счет">#REF!</definedName>
    <definedName name="Счета">#REF!</definedName>
    <definedName name="финал" localSheetId="6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финал" localSheetId="3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финал" localSheetId="1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финал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ффф" localSheetId="6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ффф" localSheetId="3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ффф" localSheetId="1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ффф" hidden="1">{#N/A,#N/A,TRUE,"Tariffs";#N/A,#N/A,TRUE,"Income";#N/A,#N/A,TRUE,"Expenses";#N/A,#N/A,TRUE,"Taxes";#N/A,#N/A,TRUE,"P&amp;L";#N/A,#N/A,TRUE,"Profit";#N/A,#N/A,TRUE,"Balance";#N/A,#N/A,TRUE,"OFF";#N/A,#N/A,TRUE,"Investments Details";#N/A,#N/A,TRUE,"Actuals 94"}</definedName>
    <definedName name="фывы" localSheetId="1">#REF!</definedName>
    <definedName name="фывы">#REF!</definedName>
    <definedName name="ЦБО" localSheetId="1">[11]ЦБО!$A$1:$A$26</definedName>
    <definedName name="ЦБО">[12]ЦБО!$A$1:$A$26</definedName>
    <definedName name="ццц" localSheetId="6" hidden="1">{#N/A,#N/A,TRUE,"Income";#N/A,#N/A,TRUE,"Expenses";#N/A,#N/A,TRUE,"Taxes";#N/A,#N/A,TRUE,"P&amp;L";#N/A,#N/A,TRUE,"Profit";#N/A,#N/A,TRUE,"Balance";#N/A,#N/A,TRUE,"OFF";#N/A,#N/A,TRUE,"Capital";#N/A,#N/A,TRUE,"Investments Details";#N/A,#N/A,TRUE,"Comparison"}</definedName>
    <definedName name="ццц" localSheetId="3" hidden="1">{#N/A,#N/A,TRUE,"Income";#N/A,#N/A,TRUE,"Expenses";#N/A,#N/A,TRUE,"Taxes";#N/A,#N/A,TRUE,"P&amp;L";#N/A,#N/A,TRUE,"Profit";#N/A,#N/A,TRUE,"Balance";#N/A,#N/A,TRUE,"OFF";#N/A,#N/A,TRUE,"Capital";#N/A,#N/A,TRUE,"Investments Details";#N/A,#N/A,TRUE,"Comparison"}</definedName>
    <definedName name="ццц" localSheetId="1" hidden="1">{#N/A,#N/A,TRUE,"Income";#N/A,#N/A,TRUE,"Expenses";#N/A,#N/A,TRUE,"Taxes";#N/A,#N/A,TRUE,"P&amp;L";#N/A,#N/A,TRUE,"Profit";#N/A,#N/A,TRUE,"Balance";#N/A,#N/A,TRUE,"OFF";#N/A,#N/A,TRUE,"Capital";#N/A,#N/A,TRUE,"Investments Details";#N/A,#N/A,TRUE,"Comparison"}</definedName>
    <definedName name="ццц" hidden="1">{#N/A,#N/A,TRUE,"Income";#N/A,#N/A,TRUE,"Expenses";#N/A,#N/A,TRUE,"Taxes";#N/A,#N/A,TRUE,"P&amp;L";#N/A,#N/A,TRUE,"Profit";#N/A,#N/A,TRUE,"Balance";#N/A,#N/A,TRUE,"OFF";#N/A,#N/A,TRUE,"Capital";#N/A,#N/A,TRUE,"Investments Details";#N/A,#N/A,TRUE,"Comparison"}</definedName>
    <definedName name="шь" localSheetId="1">#REF!</definedName>
    <definedName name="ш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4" l="1"/>
  <c r="C20" i="33"/>
  <c r="J90" i="54"/>
  <c r="K91" i="54"/>
  <c r="I93" i="54"/>
  <c r="D94" i="54"/>
  <c r="J94" i="54" s="1"/>
  <c r="E94" i="54"/>
  <c r="K94" i="54" s="1"/>
  <c r="C94" i="54"/>
  <c r="I94" i="54" s="1"/>
  <c r="D93" i="54"/>
  <c r="J93" i="54" s="1"/>
  <c r="E93" i="54"/>
  <c r="K93" i="54" s="1"/>
  <c r="C93" i="54"/>
  <c r="D89" i="54"/>
  <c r="J89" i="54" s="1"/>
  <c r="E89" i="54"/>
  <c r="K89" i="54" s="1"/>
  <c r="C89" i="54"/>
  <c r="D92" i="54"/>
  <c r="J92" i="54" s="1"/>
  <c r="E92" i="54"/>
  <c r="K92" i="54" s="1"/>
  <c r="C92" i="54"/>
  <c r="D91" i="54"/>
  <c r="J91" i="54" s="1"/>
  <c r="E91" i="54"/>
  <c r="C91" i="54"/>
  <c r="I91" i="54" s="1"/>
  <c r="D90" i="54"/>
  <c r="E90" i="54"/>
  <c r="K90" i="54" s="1"/>
  <c r="C90" i="54"/>
  <c r="F90" i="54" s="1"/>
  <c r="D88" i="54"/>
  <c r="D87" i="54" s="1"/>
  <c r="E88" i="54"/>
  <c r="E87" i="54" s="1"/>
  <c r="C88" i="54"/>
  <c r="I88" i="54" s="1"/>
  <c r="G28" i="54"/>
  <c r="I28" i="54" s="1"/>
  <c r="G29" i="54"/>
  <c r="I29" i="54" s="1"/>
  <c r="G30" i="54"/>
  <c r="I30" i="54" s="1"/>
  <c r="G31" i="54"/>
  <c r="I31" i="54" s="1"/>
  <c r="G32" i="54"/>
  <c r="I32" i="54" s="1"/>
  <c r="G33" i="54"/>
  <c r="I33" i="54" s="1"/>
  <c r="G34" i="54"/>
  <c r="I34" i="54" s="1"/>
  <c r="K88" i="54" l="1"/>
  <c r="K87" i="54" s="1"/>
  <c r="I90" i="54"/>
  <c r="K33" i="54"/>
  <c r="F88" i="54"/>
  <c r="F91" i="54"/>
  <c r="F94" i="54"/>
  <c r="J88" i="54"/>
  <c r="J87" i="54" s="1"/>
  <c r="C87" i="54"/>
  <c r="I89" i="54"/>
  <c r="I87" i="54" s="1"/>
  <c r="J33" i="54"/>
  <c r="L33" i="54" s="1"/>
  <c r="F92" i="54"/>
  <c r="F93" i="54"/>
  <c r="I92" i="54"/>
  <c r="F89" i="54"/>
  <c r="K34" i="54"/>
  <c r="K28" i="54"/>
  <c r="J34" i="54"/>
  <c r="L34" i="54" s="1"/>
  <c r="K29" i="54"/>
  <c r="K30" i="54"/>
  <c r="K32" i="54"/>
  <c r="J30" i="54"/>
  <c r="J29" i="54"/>
  <c r="L29" i="54"/>
  <c r="I35" i="54"/>
  <c r="J32" i="54"/>
  <c r="K31" i="54"/>
  <c r="J28" i="54"/>
  <c r="J31" i="54"/>
  <c r="L32" i="54" l="1"/>
  <c r="L30" i="54"/>
  <c r="F87" i="54"/>
  <c r="K35" i="54"/>
  <c r="L31" i="54"/>
  <c r="J35" i="54"/>
  <c r="L28" i="54"/>
  <c r="L35" i="54" s="1"/>
  <c r="K12" i="48" l="1"/>
  <c r="L12" i="48"/>
  <c r="M12" i="48"/>
  <c r="N12" i="48"/>
  <c r="O12" i="48"/>
  <c r="P12" i="48"/>
  <c r="Q12" i="48"/>
  <c r="R12" i="48"/>
  <c r="S12" i="48"/>
  <c r="T12" i="48"/>
  <c r="U12" i="48"/>
  <c r="V12" i="48"/>
  <c r="W12" i="48"/>
  <c r="X12" i="48"/>
  <c r="Y12" i="48"/>
  <c r="Z12" i="48"/>
  <c r="AA12" i="48"/>
  <c r="AB12" i="48"/>
  <c r="AC12" i="48"/>
  <c r="AD12" i="48"/>
  <c r="AE12" i="48"/>
  <c r="AF12" i="48"/>
  <c r="AG12" i="48"/>
  <c r="AH12" i="48"/>
  <c r="AI12" i="48"/>
  <c r="AJ12" i="48"/>
  <c r="AK12" i="48"/>
  <c r="AL12" i="48"/>
  <c r="AM12" i="48"/>
  <c r="AN12" i="48"/>
  <c r="AO12" i="48"/>
  <c r="AP12" i="48"/>
  <c r="AQ12" i="48"/>
  <c r="AR12" i="48"/>
  <c r="AS12" i="48"/>
  <c r="J12" i="48"/>
  <c r="K9" i="48"/>
  <c r="L9" i="48"/>
  <c r="M9" i="48"/>
  <c r="N9" i="48"/>
  <c r="O9" i="48"/>
  <c r="P9" i="48"/>
  <c r="Q9" i="48"/>
  <c r="R9" i="48"/>
  <c r="S9" i="48"/>
  <c r="T9" i="48"/>
  <c r="U9" i="48"/>
  <c r="V9" i="48"/>
  <c r="W9" i="48"/>
  <c r="X9" i="48"/>
  <c r="Y9" i="48"/>
  <c r="Z9" i="48"/>
  <c r="AA9" i="48"/>
  <c r="AB9" i="48"/>
  <c r="AC9" i="48"/>
  <c r="AD9" i="48"/>
  <c r="AE9" i="48"/>
  <c r="AF9" i="48"/>
  <c r="AG9" i="48"/>
  <c r="AH9" i="48"/>
  <c r="AI9" i="48"/>
  <c r="AJ9" i="48"/>
  <c r="AK9" i="48"/>
  <c r="AL9" i="48"/>
  <c r="AM9" i="48"/>
  <c r="AN9" i="48"/>
  <c r="AO9" i="48"/>
  <c r="AP9" i="48"/>
  <c r="AQ9" i="48"/>
  <c r="AR9" i="48"/>
  <c r="AS9" i="48"/>
  <c r="J9" i="48"/>
  <c r="K91" i="48"/>
  <c r="L91" i="48"/>
  <c r="M91" i="48"/>
  <c r="N91" i="48"/>
  <c r="O91" i="48"/>
  <c r="P91" i="48"/>
  <c r="Q91" i="48"/>
  <c r="R91" i="48"/>
  <c r="S91" i="48"/>
  <c r="T91" i="48"/>
  <c r="U91" i="48"/>
  <c r="V91" i="48"/>
  <c r="W91" i="48"/>
  <c r="X91" i="48"/>
  <c r="Y91" i="48"/>
  <c r="Z91" i="48"/>
  <c r="AA91" i="48"/>
  <c r="AB91" i="48"/>
  <c r="AC91" i="48"/>
  <c r="AD91" i="48"/>
  <c r="AE91" i="48"/>
  <c r="AF91" i="48"/>
  <c r="AG91" i="48"/>
  <c r="AH91" i="48"/>
  <c r="AI91" i="48"/>
  <c r="AJ91" i="48"/>
  <c r="AK91" i="48"/>
  <c r="AL91" i="48"/>
  <c r="AM91" i="48"/>
  <c r="AN91" i="48"/>
  <c r="AO91" i="48"/>
  <c r="AP91" i="48"/>
  <c r="AQ91" i="48"/>
  <c r="AR91" i="48"/>
  <c r="AS91" i="48"/>
  <c r="E91" i="48"/>
  <c r="F91" i="48"/>
  <c r="H91" i="48" s="1"/>
  <c r="G91" i="48"/>
  <c r="I91" i="48" s="1"/>
  <c r="J91" i="48"/>
  <c r="C28" i="47" l="1"/>
  <c r="M44" i="49" l="1"/>
  <c r="AU44" i="49"/>
  <c r="AT44" i="49"/>
  <c r="AS44" i="49"/>
  <c r="AR44" i="49"/>
  <c r="AQ44" i="49"/>
  <c r="AP44" i="49"/>
  <c r="AO44" i="49"/>
  <c r="AN44" i="49"/>
  <c r="AM44" i="49"/>
  <c r="AL44" i="49"/>
  <c r="AK44" i="49"/>
  <c r="AJ44" i="49"/>
  <c r="AI44" i="49"/>
  <c r="AH44" i="49"/>
  <c r="AG44" i="49"/>
  <c r="AF44" i="49"/>
  <c r="AE44" i="49"/>
  <c r="AD44" i="49"/>
  <c r="AC44" i="49"/>
  <c r="AB44" i="49"/>
  <c r="AA44" i="49"/>
  <c r="Z44" i="49"/>
  <c r="Y44" i="49"/>
  <c r="X44" i="49"/>
  <c r="W44" i="49"/>
  <c r="V44" i="49"/>
  <c r="U44" i="49"/>
  <c r="T44" i="49"/>
  <c r="S44" i="49"/>
  <c r="R44" i="49"/>
  <c r="Q44" i="49"/>
  <c r="P44" i="49"/>
  <c r="O44" i="49"/>
  <c r="N44" i="49"/>
  <c r="L44" i="49"/>
  <c r="B51" i="47"/>
  <c r="K44" i="49" l="1"/>
  <c r="I44" i="49"/>
  <c r="J44" i="49"/>
  <c r="C36" i="47"/>
  <c r="H44" i="62"/>
  <c r="H47" i="62"/>
  <c r="H24" i="62" l="1"/>
  <c r="C12" i="47" l="1"/>
  <c r="B12" i="47"/>
  <c r="B36" i="47"/>
  <c r="B25" i="47" l="1"/>
  <c r="C50" i="47" l="1"/>
  <c r="B49" i="47" l="1"/>
  <c r="C49" i="47" s="1"/>
  <c r="B48" i="47"/>
  <c r="C48" i="47" s="1"/>
  <c r="B44" i="47"/>
  <c r="B47" i="47"/>
  <c r="C44" i="47" l="1"/>
  <c r="B45" i="47"/>
  <c r="C46" i="47"/>
  <c r="B41" i="47"/>
  <c r="B42" i="47"/>
  <c r="B40" i="47" l="1"/>
  <c r="C40" i="47" s="1"/>
  <c r="B39" i="47"/>
  <c r="B37" i="47"/>
  <c r="I35" i="47"/>
  <c r="I36" i="47"/>
  <c r="I37" i="47"/>
  <c r="I38" i="47"/>
  <c r="I39" i="47"/>
  <c r="I41" i="47"/>
  <c r="I42" i="47"/>
  <c r="I45" i="47"/>
  <c r="I46" i="47"/>
  <c r="I47" i="47"/>
  <c r="I49" i="47"/>
  <c r="B34" i="47"/>
  <c r="C34" i="47" l="1"/>
  <c r="B60" i="47"/>
  <c r="B59" i="47" s="1"/>
  <c r="C30" i="47" s="1"/>
  <c r="K19" i="62" l="1"/>
  <c r="H31" i="62" l="1"/>
  <c r="H32" i="62" l="1"/>
  <c r="H42" i="62"/>
  <c r="H16" i="62"/>
  <c r="H14" i="62" l="1"/>
  <c r="H5" i="62"/>
  <c r="H7" i="62"/>
  <c r="H9" i="62"/>
  <c r="H11" i="62"/>
  <c r="H13" i="62"/>
  <c r="J53" i="48" l="1"/>
  <c r="AH88" i="48"/>
  <c r="AI88" i="48" s="1"/>
  <c r="W88" i="48"/>
  <c r="V88" i="48"/>
  <c r="J88" i="48"/>
  <c r="K88" i="48" s="1"/>
  <c r="AN87" i="48"/>
  <c r="AF87" i="48"/>
  <c r="X87" i="48"/>
  <c r="P87" i="48"/>
  <c r="AH83" i="48"/>
  <c r="Z83" i="48"/>
  <c r="Y83" i="48"/>
  <c r="X83" i="48"/>
  <c r="W83" i="48"/>
  <c r="V83" i="48"/>
  <c r="J83" i="48"/>
  <c r="AR82" i="48"/>
  <c r="AQ82" i="48"/>
  <c r="AJ82" i="48"/>
  <c r="AI82" i="48"/>
  <c r="AB82" i="48"/>
  <c r="AA82" i="48"/>
  <c r="T82" i="48"/>
  <c r="S82" i="48"/>
  <c r="L82" i="48"/>
  <c r="K82" i="48"/>
  <c r="AS80" i="48"/>
  <c r="AR80" i="48"/>
  <c r="AR77" i="48" s="1"/>
  <c r="AQ80" i="48"/>
  <c r="AP80" i="48"/>
  <c r="AO80" i="48"/>
  <c r="AN80" i="48"/>
  <c r="AM80" i="48"/>
  <c r="AL80" i="48"/>
  <c r="AL77" i="48" s="1"/>
  <c r="AK80" i="48"/>
  <c r="AJ80" i="48"/>
  <c r="AJ77" i="48" s="1"/>
  <c r="AI80" i="48"/>
  <c r="AH80" i="48"/>
  <c r="AG80" i="48"/>
  <c r="AF80" i="48"/>
  <c r="AE80" i="48"/>
  <c r="AD80" i="48"/>
  <c r="AD77" i="48" s="1"/>
  <c r="AC80" i="48"/>
  <c r="AB80" i="48"/>
  <c r="AA80" i="48"/>
  <c r="Z80" i="48"/>
  <c r="Y80" i="48"/>
  <c r="X80" i="48"/>
  <c r="W80" i="48"/>
  <c r="V80" i="48"/>
  <c r="V77" i="48" s="1"/>
  <c r="U80" i="48"/>
  <c r="T80" i="48"/>
  <c r="S80" i="48"/>
  <c r="R80" i="48"/>
  <c r="Q80" i="48"/>
  <c r="P80" i="48"/>
  <c r="O80" i="48"/>
  <c r="N80" i="48"/>
  <c r="N77" i="48" s="1"/>
  <c r="M80" i="48"/>
  <c r="L80" i="48"/>
  <c r="K80" i="48"/>
  <c r="J80" i="48"/>
  <c r="AS78" i="48"/>
  <c r="AS87" i="48" s="1"/>
  <c r="AR78" i="48"/>
  <c r="AR87" i="48" s="1"/>
  <c r="AQ78" i="48"/>
  <c r="AQ87" i="48" s="1"/>
  <c r="AP78" i="48"/>
  <c r="AO78" i="48"/>
  <c r="AN78" i="48"/>
  <c r="AN82" i="48" s="1"/>
  <c r="AM78" i="48"/>
  <c r="AM87" i="48" s="1"/>
  <c r="AL78" i="48"/>
  <c r="AL87" i="48" s="1"/>
  <c r="AK78" i="48"/>
  <c r="AK87" i="48" s="1"/>
  <c r="AJ78" i="48"/>
  <c r="AJ87" i="48" s="1"/>
  <c r="AI78" i="48"/>
  <c r="AI87" i="48" s="1"/>
  <c r="AH78" i="48"/>
  <c r="AG78" i="48"/>
  <c r="AF78" i="48"/>
  <c r="AF82" i="48" s="1"/>
  <c r="AE78" i="48"/>
  <c r="AE87" i="48" s="1"/>
  <c r="AD78" i="48"/>
  <c r="AD87" i="48" s="1"/>
  <c r="AC78" i="48"/>
  <c r="AC87" i="48" s="1"/>
  <c r="AB78" i="48"/>
  <c r="AB87" i="48" s="1"/>
  <c r="AA78" i="48"/>
  <c r="AA87" i="48" s="1"/>
  <c r="Z78" i="48"/>
  <c r="Y78" i="48"/>
  <c r="X78" i="48"/>
  <c r="X82" i="48" s="1"/>
  <c r="X81" i="48" s="1"/>
  <c r="W78" i="48"/>
  <c r="W87" i="48" s="1"/>
  <c r="V78" i="48"/>
  <c r="V87" i="48" s="1"/>
  <c r="U78" i="48"/>
  <c r="U87" i="48" s="1"/>
  <c r="T78" i="48"/>
  <c r="T87" i="48" s="1"/>
  <c r="S78" i="48"/>
  <c r="S87" i="48" s="1"/>
  <c r="R78" i="48"/>
  <c r="Q78" i="48"/>
  <c r="Q87" i="48" s="1"/>
  <c r="P78" i="48"/>
  <c r="P82" i="48" s="1"/>
  <c r="O78" i="48"/>
  <c r="O87" i="48" s="1"/>
  <c r="N78" i="48"/>
  <c r="N87" i="48" s="1"/>
  <c r="M78" i="48"/>
  <c r="M87" i="48" s="1"/>
  <c r="L78" i="48"/>
  <c r="L87" i="48" s="1"/>
  <c r="K78" i="48"/>
  <c r="K87" i="48" s="1"/>
  <c r="J78" i="48"/>
  <c r="AQ77" i="48"/>
  <c r="AN77" i="48"/>
  <c r="AM77" i="48"/>
  <c r="AI77" i="48"/>
  <c r="AF77" i="48"/>
  <c r="AE77" i="48"/>
  <c r="AA77" i="48"/>
  <c r="X77" i="48"/>
  <c r="W77" i="48"/>
  <c r="S77" i="48"/>
  <c r="P77" i="48"/>
  <c r="O77" i="48"/>
  <c r="K77" i="48"/>
  <c r="AK72" i="48"/>
  <c r="AJ72" i="48"/>
  <c r="AH72" i="48"/>
  <c r="AI72" i="48" s="1"/>
  <c r="X72" i="48"/>
  <c r="W72" i="48"/>
  <c r="V72" i="48"/>
  <c r="L72" i="48"/>
  <c r="J72" i="48"/>
  <c r="K72" i="48" s="1"/>
  <c r="AH68" i="48"/>
  <c r="V68" i="48"/>
  <c r="W68" i="48" s="1"/>
  <c r="J68" i="48"/>
  <c r="H67" i="48"/>
  <c r="G67" i="48"/>
  <c r="I67" i="48" s="1"/>
  <c r="F67" i="48"/>
  <c r="E67" i="48"/>
  <c r="V66" i="48"/>
  <c r="AS64" i="48"/>
  <c r="AR64" i="48"/>
  <c r="AQ64" i="48"/>
  <c r="AP64" i="48"/>
  <c r="AO64" i="48"/>
  <c r="AN64" i="48"/>
  <c r="AM64" i="48"/>
  <c r="AL64" i="48"/>
  <c r="AK64" i="48"/>
  <c r="AJ64" i="48"/>
  <c r="AI64" i="48"/>
  <c r="AH64" i="48"/>
  <c r="AG64" i="48"/>
  <c r="AF64" i="48"/>
  <c r="AE64" i="48"/>
  <c r="AD64" i="48"/>
  <c r="AC64" i="48"/>
  <c r="AB64" i="48"/>
  <c r="AA64" i="48"/>
  <c r="Z64" i="48"/>
  <c r="Y64" i="48"/>
  <c r="X64" i="48"/>
  <c r="W64" i="48"/>
  <c r="V64" i="48"/>
  <c r="U64" i="48"/>
  <c r="T64" i="48"/>
  <c r="S64" i="48"/>
  <c r="R64" i="48"/>
  <c r="Q64" i="48"/>
  <c r="P64" i="48"/>
  <c r="O64" i="48"/>
  <c r="N64" i="48"/>
  <c r="M64" i="48"/>
  <c r="L64" i="48"/>
  <c r="K64" i="48"/>
  <c r="J64" i="48"/>
  <c r="AQ57" i="48"/>
  <c r="AR57" i="48" s="1"/>
  <c r="AS57" i="48" s="1"/>
  <c r="AJ57" i="48"/>
  <c r="AK57" i="48" s="1"/>
  <c r="AL57" i="48" s="1"/>
  <c r="AM57" i="48" s="1"/>
  <c r="AN57" i="48" s="1"/>
  <c r="AO57" i="48" s="1"/>
  <c r="AP57" i="48" s="1"/>
  <c r="AI57" i="48"/>
  <c r="AH57" i="48"/>
  <c r="W57" i="48"/>
  <c r="X57" i="48" s="1"/>
  <c r="Y57" i="48" s="1"/>
  <c r="Z57" i="48" s="1"/>
  <c r="AA57" i="48" s="1"/>
  <c r="AB57" i="48" s="1"/>
  <c r="AC57" i="48" s="1"/>
  <c r="AD57" i="48" s="1"/>
  <c r="AE57" i="48" s="1"/>
  <c r="AF57" i="48" s="1"/>
  <c r="AG57" i="48" s="1"/>
  <c r="V57" i="48"/>
  <c r="T57" i="48"/>
  <c r="U57" i="48" s="1"/>
  <c r="K57" i="48"/>
  <c r="L57" i="48" s="1"/>
  <c r="M57" i="48" s="1"/>
  <c r="N57" i="48" s="1"/>
  <c r="O57" i="48" s="1"/>
  <c r="P57" i="48" s="1"/>
  <c r="Q57" i="48" s="1"/>
  <c r="R57" i="48" s="1"/>
  <c r="S57" i="48" s="1"/>
  <c r="J57" i="48"/>
  <c r="AO51" i="48"/>
  <c r="AP51" i="48" s="1"/>
  <c r="AQ51" i="48" s="1"/>
  <c r="AR51" i="48" s="1"/>
  <c r="AS51" i="48" s="1"/>
  <c r="AM51" i="48"/>
  <c r="AN51" i="48" s="1"/>
  <c r="AJ51" i="48"/>
  <c r="AK51" i="48" s="1"/>
  <c r="AL51" i="48" s="1"/>
  <c r="AI51" i="48"/>
  <c r="AH51" i="48"/>
  <c r="W51" i="48"/>
  <c r="X51" i="48" s="1"/>
  <c r="Y51" i="48" s="1"/>
  <c r="Z51" i="48" s="1"/>
  <c r="AA51" i="48" s="1"/>
  <c r="AB51" i="48" s="1"/>
  <c r="AC51" i="48" s="1"/>
  <c r="AD51" i="48" s="1"/>
  <c r="AE51" i="48" s="1"/>
  <c r="AF51" i="48" s="1"/>
  <c r="AG51" i="48" s="1"/>
  <c r="V51" i="48"/>
  <c r="L51" i="48"/>
  <c r="M51" i="48" s="1"/>
  <c r="N51" i="48" s="1"/>
  <c r="O51" i="48" s="1"/>
  <c r="P51" i="48" s="1"/>
  <c r="Q51" i="48" s="1"/>
  <c r="R51" i="48" s="1"/>
  <c r="S51" i="48" s="1"/>
  <c r="T51" i="48" s="1"/>
  <c r="U51" i="48" s="1"/>
  <c r="K51" i="48"/>
  <c r="J51" i="48"/>
  <c r="AI45" i="48"/>
  <c r="AJ45" i="48" s="1"/>
  <c r="AK45" i="48" s="1"/>
  <c r="AL45" i="48" s="1"/>
  <c r="AM45" i="48" s="1"/>
  <c r="AN45" i="48" s="1"/>
  <c r="AO45" i="48" s="1"/>
  <c r="AP45" i="48" s="1"/>
  <c r="AQ45" i="48" s="1"/>
  <c r="AR45" i="48" s="1"/>
  <c r="AS45" i="48" s="1"/>
  <c r="AH45" i="48"/>
  <c r="V45" i="48"/>
  <c r="W45" i="48" s="1"/>
  <c r="X45" i="48" s="1"/>
  <c r="Y45" i="48" s="1"/>
  <c r="Z45" i="48" s="1"/>
  <c r="AA45" i="48" s="1"/>
  <c r="AB45" i="48" s="1"/>
  <c r="AC45" i="48" s="1"/>
  <c r="AD45" i="48" s="1"/>
  <c r="AE45" i="48" s="1"/>
  <c r="AF45" i="48" s="1"/>
  <c r="AG45" i="48" s="1"/>
  <c r="J45" i="48"/>
  <c r="K45" i="48" s="1"/>
  <c r="L45" i="48" s="1"/>
  <c r="M45" i="48" s="1"/>
  <c r="N45" i="48" s="1"/>
  <c r="O45" i="48" s="1"/>
  <c r="P45" i="48" s="1"/>
  <c r="Q45" i="48" s="1"/>
  <c r="R45" i="48" s="1"/>
  <c r="S45" i="48" s="1"/>
  <c r="T45" i="48" s="1"/>
  <c r="U45" i="48" s="1"/>
  <c r="AR39" i="48"/>
  <c r="AS39" i="48" s="1"/>
  <c r="AI39" i="48"/>
  <c r="AJ39" i="48" s="1"/>
  <c r="AK39" i="48" s="1"/>
  <c r="AL39" i="48" s="1"/>
  <c r="AM39" i="48" s="1"/>
  <c r="AN39" i="48" s="1"/>
  <c r="AO39" i="48" s="1"/>
  <c r="AP39" i="48" s="1"/>
  <c r="AQ39" i="48" s="1"/>
  <c r="AH39" i="48"/>
  <c r="Z39" i="48"/>
  <c r="AA39" i="48" s="1"/>
  <c r="AB39" i="48" s="1"/>
  <c r="AC39" i="48" s="1"/>
  <c r="AD39" i="48" s="1"/>
  <c r="AE39" i="48" s="1"/>
  <c r="AF39" i="48" s="1"/>
  <c r="AG39" i="48" s="1"/>
  <c r="X39" i="48"/>
  <c r="Y39" i="48" s="1"/>
  <c r="V39" i="48"/>
  <c r="W39" i="48" s="1"/>
  <c r="L39" i="48"/>
  <c r="M39" i="48" s="1"/>
  <c r="N39" i="48" s="1"/>
  <c r="O39" i="48" s="1"/>
  <c r="P39" i="48" s="1"/>
  <c r="Q39" i="48" s="1"/>
  <c r="R39" i="48" s="1"/>
  <c r="S39" i="48" s="1"/>
  <c r="T39" i="48" s="1"/>
  <c r="U39" i="48" s="1"/>
  <c r="K39" i="48"/>
  <c r="J39" i="48"/>
  <c r="AH32" i="48"/>
  <c r="AI32" i="48" s="1"/>
  <c r="V32" i="48"/>
  <c r="L32" i="48"/>
  <c r="K32" i="48"/>
  <c r="J32" i="48"/>
  <c r="D30" i="48"/>
  <c r="C30" i="48"/>
  <c r="B30" i="48"/>
  <c r="X29" i="48"/>
  <c r="X46" i="48" s="1"/>
  <c r="Y28" i="48"/>
  <c r="Y29" i="48" s="1"/>
  <c r="Y46" i="48" s="1"/>
  <c r="AQ27" i="48"/>
  <c r="AQ28" i="48" s="1"/>
  <c r="AG27" i="48"/>
  <c r="AG28" i="48" s="1"/>
  <c r="AB27" i="48"/>
  <c r="AB28" i="48" s="1"/>
  <c r="Y27" i="48"/>
  <c r="X27" i="48"/>
  <c r="X28" i="48" s="1"/>
  <c r="C27" i="48"/>
  <c r="G26" i="48"/>
  <c r="F26" i="48"/>
  <c r="E26" i="48"/>
  <c r="W25" i="48"/>
  <c r="X25" i="48" s="1"/>
  <c r="Y25" i="48" s="1"/>
  <c r="Z25" i="48" s="1"/>
  <c r="AA25" i="48" s="1"/>
  <c r="AB25" i="48" s="1"/>
  <c r="AC25" i="48" s="1"/>
  <c r="AD25" i="48" s="1"/>
  <c r="AE25" i="48" s="1"/>
  <c r="AF25" i="48" s="1"/>
  <c r="AG25" i="48" s="1"/>
  <c r="AH25" i="48" s="1"/>
  <c r="AI25" i="48" s="1"/>
  <c r="AJ25" i="48" s="1"/>
  <c r="AK25" i="48" s="1"/>
  <c r="AL25" i="48" s="1"/>
  <c r="AM25" i="48" s="1"/>
  <c r="AN25" i="48" s="1"/>
  <c r="AO25" i="48" s="1"/>
  <c r="AP25" i="48" s="1"/>
  <c r="AQ25" i="48" s="1"/>
  <c r="AR25" i="48" s="1"/>
  <c r="AS25" i="48" s="1"/>
  <c r="V25" i="48"/>
  <c r="O25" i="48"/>
  <c r="P25" i="48" s="1"/>
  <c r="Q25" i="48" s="1"/>
  <c r="R25" i="48" s="1"/>
  <c r="S25" i="48" s="1"/>
  <c r="T25" i="48" s="1"/>
  <c r="U25" i="48" s="1"/>
  <c r="N25" i="48"/>
  <c r="L25" i="48"/>
  <c r="M25" i="48" s="1"/>
  <c r="J25" i="48"/>
  <c r="K25" i="48" s="1"/>
  <c r="D25" i="48"/>
  <c r="C25" i="48"/>
  <c r="AH24" i="48"/>
  <c r="V24" i="48"/>
  <c r="D24" i="48"/>
  <c r="C24" i="48"/>
  <c r="AE27" i="48" s="1"/>
  <c r="AE28" i="48" s="1"/>
  <c r="AH23" i="48"/>
  <c r="V23" i="48"/>
  <c r="J23" i="48"/>
  <c r="J24" i="48" s="1"/>
  <c r="D23" i="48"/>
  <c r="C23" i="48"/>
  <c r="B23" i="48"/>
  <c r="B24" i="48" s="1"/>
  <c r="AI21" i="48"/>
  <c r="AJ21" i="48" s="1"/>
  <c r="AK21" i="48" s="1"/>
  <c r="AL21" i="48" s="1"/>
  <c r="AM21" i="48" s="1"/>
  <c r="AN21" i="48" s="1"/>
  <c r="AO21" i="48" s="1"/>
  <c r="AP21" i="48" s="1"/>
  <c r="AQ21" i="48" s="1"/>
  <c r="AR21" i="48" s="1"/>
  <c r="AS21" i="48" s="1"/>
  <c r="AH21" i="48"/>
  <c r="Z21" i="48"/>
  <c r="AA21" i="48" s="1"/>
  <c r="AB21" i="48" s="1"/>
  <c r="AC21" i="48" s="1"/>
  <c r="AD21" i="48" s="1"/>
  <c r="AE21" i="48" s="1"/>
  <c r="AF21" i="48" s="1"/>
  <c r="AG21" i="48" s="1"/>
  <c r="X21" i="48"/>
  <c r="Y21" i="48" s="1"/>
  <c r="V21" i="48"/>
  <c r="W21" i="48" s="1"/>
  <c r="J21" i="48"/>
  <c r="K21" i="48" s="1"/>
  <c r="L21" i="48" s="1"/>
  <c r="M21" i="48" s="1"/>
  <c r="N21" i="48" s="1"/>
  <c r="O21" i="48" s="1"/>
  <c r="P21" i="48" s="1"/>
  <c r="Q21" i="48" s="1"/>
  <c r="R21" i="48" s="1"/>
  <c r="S21" i="48" s="1"/>
  <c r="T21" i="48" s="1"/>
  <c r="U21" i="48" s="1"/>
  <c r="AI20" i="48"/>
  <c r="AJ20" i="48" s="1"/>
  <c r="AK20" i="48" s="1"/>
  <c r="AL20" i="48" s="1"/>
  <c r="AM20" i="48" s="1"/>
  <c r="AN20" i="48" s="1"/>
  <c r="AO20" i="48" s="1"/>
  <c r="AP20" i="48" s="1"/>
  <c r="AQ20" i="48" s="1"/>
  <c r="AR20" i="48" s="1"/>
  <c r="AS20" i="48" s="1"/>
  <c r="AH20" i="48"/>
  <c r="W20" i="48"/>
  <c r="X20" i="48" s="1"/>
  <c r="Y20" i="48" s="1"/>
  <c r="Z20" i="48" s="1"/>
  <c r="AA20" i="48" s="1"/>
  <c r="AB20" i="48" s="1"/>
  <c r="AC20" i="48" s="1"/>
  <c r="AD20" i="48" s="1"/>
  <c r="AE20" i="48" s="1"/>
  <c r="AF20" i="48" s="1"/>
  <c r="AG20" i="48" s="1"/>
  <c r="V20" i="48"/>
  <c r="O20" i="48"/>
  <c r="P20" i="48" s="1"/>
  <c r="Q20" i="48" s="1"/>
  <c r="R20" i="48" s="1"/>
  <c r="S20" i="48" s="1"/>
  <c r="T20" i="48" s="1"/>
  <c r="U20" i="48" s="1"/>
  <c r="M20" i="48"/>
  <c r="N20" i="48" s="1"/>
  <c r="J20" i="48"/>
  <c r="K20" i="48" s="1"/>
  <c r="L20" i="48" s="1"/>
  <c r="AI19" i="48"/>
  <c r="AH19" i="48"/>
  <c r="V19" i="48"/>
  <c r="W19" i="48" s="1"/>
  <c r="K19" i="48"/>
  <c r="J19" i="48"/>
  <c r="H45" i="62"/>
  <c r="H41" i="62"/>
  <c r="H39" i="62"/>
  <c r="H37" i="62"/>
  <c r="H35" i="62"/>
  <c r="H33" i="62"/>
  <c r="H21" i="62"/>
  <c r="H29" i="62"/>
  <c r="H27" i="62"/>
  <c r="H23" i="62"/>
  <c r="C27" i="47" l="1"/>
  <c r="I30" i="47"/>
  <c r="N27" i="48"/>
  <c r="N28" i="48" s="1"/>
  <c r="M27" i="48"/>
  <c r="M28" i="48" s="1"/>
  <c r="B27" i="48"/>
  <c r="U27" i="48"/>
  <c r="U28" i="48" s="1"/>
  <c r="L27" i="48"/>
  <c r="L28" i="48" s="1"/>
  <c r="T27" i="48"/>
  <c r="T28" i="48" s="1"/>
  <c r="K27" i="48"/>
  <c r="K28" i="48" s="1"/>
  <c r="S27" i="48"/>
  <c r="S28" i="48" s="1"/>
  <c r="J27" i="48"/>
  <c r="J28" i="48" s="1"/>
  <c r="R27" i="48"/>
  <c r="R28" i="48" s="1"/>
  <c r="Q27" i="48"/>
  <c r="Q28" i="48" s="1"/>
  <c r="O27" i="48"/>
  <c r="O28" i="48" s="1"/>
  <c r="P27" i="48"/>
  <c r="P28" i="48" s="1"/>
  <c r="Y47" i="48"/>
  <c r="Y44" i="48"/>
  <c r="AE63" i="48"/>
  <c r="AE31" i="48"/>
  <c r="AE58" i="48" s="1"/>
  <c r="AE29" i="48"/>
  <c r="AE46" i="48" s="1"/>
  <c r="AE30" i="48"/>
  <c r="X44" i="48"/>
  <c r="X47" i="48"/>
  <c r="X19" i="48"/>
  <c r="W23" i="48"/>
  <c r="W24" i="48" s="1"/>
  <c r="AL27" i="48"/>
  <c r="AL28" i="48" s="1"/>
  <c r="D27" i="48"/>
  <c r="AO27" i="48"/>
  <c r="AO28" i="48" s="1"/>
  <c r="AN27" i="48"/>
  <c r="AN28" i="48" s="1"/>
  <c r="AM27" i="48"/>
  <c r="AM28" i="48" s="1"/>
  <c r="AK27" i="48"/>
  <c r="AK28" i="48" s="1"/>
  <c r="AS27" i="48"/>
  <c r="AS28" i="48" s="1"/>
  <c r="AJ27" i="48"/>
  <c r="AJ28" i="48" s="1"/>
  <c r="AR27" i="48"/>
  <c r="AR28" i="48" s="1"/>
  <c r="AI27" i="48"/>
  <c r="AI28" i="48" s="1"/>
  <c r="C59" i="48"/>
  <c r="C47" i="48"/>
  <c r="C53" i="48"/>
  <c r="C34" i="48"/>
  <c r="C35" i="48" s="1"/>
  <c r="C41" i="48"/>
  <c r="C28" i="48"/>
  <c r="AH27" i="48"/>
  <c r="AH28" i="48" s="1"/>
  <c r="AI23" i="48"/>
  <c r="AI24" i="48" s="1"/>
  <c r="AJ19" i="48"/>
  <c r="AG63" i="48"/>
  <c r="AG29" i="48"/>
  <c r="AG46" i="48" s="1"/>
  <c r="AG30" i="48"/>
  <c r="Y63" i="48"/>
  <c r="Y31" i="48"/>
  <c r="Y58" i="48" s="1"/>
  <c r="Y30" i="48"/>
  <c r="AP27" i="48"/>
  <c r="AP28" i="48" s="1"/>
  <c r="AJ32" i="48"/>
  <c r="AI35" i="48"/>
  <c r="AQ63" i="48"/>
  <c r="AQ31" i="48"/>
  <c r="AQ58" i="48" s="1"/>
  <c r="AQ29" i="48"/>
  <c r="AQ46" i="48" s="1"/>
  <c r="AQ30" i="48"/>
  <c r="AG31" i="48"/>
  <c r="AG58" i="48" s="1"/>
  <c r="J35" i="48"/>
  <c r="X63" i="48"/>
  <c r="X30" i="48"/>
  <c r="X31" i="48"/>
  <c r="X58" i="48" s="1"/>
  <c r="K23" i="48"/>
  <c r="L19" i="48"/>
  <c r="AB63" i="48"/>
  <c r="AB29" i="48"/>
  <c r="AB46" i="48" s="1"/>
  <c r="AB31" i="48"/>
  <c r="AB58" i="48" s="1"/>
  <c r="AB30" i="48"/>
  <c r="Z27" i="48"/>
  <c r="Z28" i="48" s="1"/>
  <c r="L35" i="48"/>
  <c r="M32" i="48"/>
  <c r="AA27" i="48"/>
  <c r="AA28" i="48" s="1"/>
  <c r="AC27" i="48"/>
  <c r="AC28" i="48" s="1"/>
  <c r="AD27" i="48"/>
  <c r="AD28" i="48" s="1"/>
  <c r="V27" i="48"/>
  <c r="V28" i="48" s="1"/>
  <c r="W27" i="48"/>
  <c r="W28" i="48" s="1"/>
  <c r="AF27" i="48"/>
  <c r="AF28" i="48" s="1"/>
  <c r="V35" i="48"/>
  <c r="W32" i="48"/>
  <c r="J66" i="48"/>
  <c r="K68" i="48"/>
  <c r="X68" i="48"/>
  <c r="W66" i="48"/>
  <c r="AI83" i="48"/>
  <c r="AL72" i="48"/>
  <c r="Q77" i="48"/>
  <c r="Q82" i="48"/>
  <c r="Y77" i="48"/>
  <c r="Y82" i="48"/>
  <c r="F78" i="48"/>
  <c r="Y87" i="48"/>
  <c r="AG77" i="48"/>
  <c r="AG82" i="48"/>
  <c r="AG87" i="48"/>
  <c r="AO77" i="48"/>
  <c r="AO82" i="48"/>
  <c r="AO87" i="48"/>
  <c r="J82" i="48"/>
  <c r="E78" i="48"/>
  <c r="J87" i="48"/>
  <c r="J77" i="48"/>
  <c r="R82" i="48"/>
  <c r="R87" i="48"/>
  <c r="R77" i="48"/>
  <c r="Z82" i="48"/>
  <c r="Z87" i="48"/>
  <c r="Z77" i="48"/>
  <c r="AH82" i="48"/>
  <c r="G82" i="48" s="1"/>
  <c r="G78" i="48"/>
  <c r="AH87" i="48"/>
  <c r="AH77" i="48"/>
  <c r="AP82" i="48"/>
  <c r="AP87" i="48"/>
  <c r="AP77" i="48"/>
  <c r="F77" i="48"/>
  <c r="L88" i="48"/>
  <c r="K86" i="48"/>
  <c r="AJ88" i="48"/>
  <c r="AI86" i="48"/>
  <c r="AH66" i="48"/>
  <c r="AI68" i="48"/>
  <c r="Y72" i="48"/>
  <c r="F87" i="48"/>
  <c r="Y81" i="48"/>
  <c r="V86" i="48"/>
  <c r="M72" i="48"/>
  <c r="J81" i="48"/>
  <c r="Z81" i="48"/>
  <c r="W86" i="48"/>
  <c r="K83" i="48"/>
  <c r="AA83" i="48"/>
  <c r="X88" i="48"/>
  <c r="L77" i="48"/>
  <c r="T77" i="48"/>
  <c r="AB77" i="48"/>
  <c r="M82" i="48"/>
  <c r="U82" i="48"/>
  <c r="AC82" i="48"/>
  <c r="AK82" i="48"/>
  <c r="AS82" i="48"/>
  <c r="M77" i="48"/>
  <c r="U77" i="48"/>
  <c r="AC77" i="48"/>
  <c r="AK77" i="48"/>
  <c r="AS77" i="48"/>
  <c r="N82" i="48"/>
  <c r="V82" i="48"/>
  <c r="F82" i="48" s="1"/>
  <c r="AD82" i="48"/>
  <c r="AL82" i="48"/>
  <c r="O82" i="48"/>
  <c r="W82" i="48"/>
  <c r="W81" i="48" s="1"/>
  <c r="AE82" i="48"/>
  <c r="AM82" i="48"/>
  <c r="AK88" i="48" l="1"/>
  <c r="AJ86" i="48"/>
  <c r="G87" i="48"/>
  <c r="I87" i="48" s="1"/>
  <c r="AH86" i="48"/>
  <c r="AH81" i="48"/>
  <c r="K24" i="48"/>
  <c r="N72" i="48"/>
  <c r="Z72" i="48"/>
  <c r="I78" i="48"/>
  <c r="E77" i="48"/>
  <c r="AM72" i="48"/>
  <c r="K66" i="48"/>
  <c r="L68" i="48"/>
  <c r="X59" i="48"/>
  <c r="X56" i="48"/>
  <c r="AQ47" i="48"/>
  <c r="AQ44" i="48"/>
  <c r="Y69" i="48"/>
  <c r="Y62" i="48"/>
  <c r="Y71" i="48"/>
  <c r="Y14" i="48" s="1"/>
  <c r="AJ63" i="48"/>
  <c r="AJ29" i="48"/>
  <c r="AJ46" i="48" s="1"/>
  <c r="AJ30" i="48"/>
  <c r="AJ31" i="48"/>
  <c r="AJ58" i="48" s="1"/>
  <c r="S63" i="48"/>
  <c r="S29" i="48"/>
  <c r="S46" i="48" s="1"/>
  <c r="S30" i="48"/>
  <c r="S31" i="48"/>
  <c r="S58" i="48" s="1"/>
  <c r="AQ59" i="48"/>
  <c r="AQ56" i="48"/>
  <c r="AS63" i="48"/>
  <c r="AS30" i="48"/>
  <c r="AS31" i="48"/>
  <c r="AS58" i="48" s="1"/>
  <c r="AS29" i="48"/>
  <c r="AS46" i="48" s="1"/>
  <c r="X23" i="48"/>
  <c r="Y19" i="48"/>
  <c r="K63" i="48"/>
  <c r="K35" i="48"/>
  <c r="K31" i="48"/>
  <c r="K58" i="48" s="1"/>
  <c r="K29" i="48"/>
  <c r="K46" i="48" s="1"/>
  <c r="K30" i="48"/>
  <c r="AA81" i="48"/>
  <c r="AB83" i="48"/>
  <c r="W90" i="48"/>
  <c r="W63" i="48"/>
  <c r="W31" i="48"/>
  <c r="W58" i="48" s="1"/>
  <c r="W29" i="48"/>
  <c r="W46" i="48" s="1"/>
  <c r="W30" i="48"/>
  <c r="AB52" i="48"/>
  <c r="AB40" i="48"/>
  <c r="X69" i="48"/>
  <c r="X71" i="48"/>
  <c r="X62" i="48"/>
  <c r="AQ71" i="48"/>
  <c r="AQ62" i="48"/>
  <c r="AQ69" i="48"/>
  <c r="AG47" i="48"/>
  <c r="AG44" i="48"/>
  <c r="AK63" i="48"/>
  <c r="AK30" i="48"/>
  <c r="AK31" i="48"/>
  <c r="AK58" i="48" s="1"/>
  <c r="AK29" i="48"/>
  <c r="AK46" i="48" s="1"/>
  <c r="T63" i="48"/>
  <c r="T29" i="48"/>
  <c r="T46" i="48" s="1"/>
  <c r="T30" i="48"/>
  <c r="T31" i="48"/>
  <c r="T58" i="48" s="1"/>
  <c r="I82" i="48"/>
  <c r="AF63" i="48"/>
  <c r="AF30" i="48"/>
  <c r="AF31" i="48"/>
  <c r="AF58" i="48" s="1"/>
  <c r="AF29" i="48"/>
  <c r="AF46" i="48" s="1"/>
  <c r="X52" i="48"/>
  <c r="X40" i="48"/>
  <c r="AG52" i="48"/>
  <c r="AG40" i="48"/>
  <c r="K81" i="48"/>
  <c r="K90" i="48" s="1"/>
  <c r="L83" i="48"/>
  <c r="M88" i="48"/>
  <c r="L86" i="48"/>
  <c r="E82" i="48"/>
  <c r="H82" i="48" s="1"/>
  <c r="H78" i="48"/>
  <c r="AI81" i="48"/>
  <c r="AI90" i="48" s="1"/>
  <c r="AJ83" i="48"/>
  <c r="V63" i="48"/>
  <c r="V31" i="48"/>
  <c r="V30" i="48"/>
  <c r="F28" i="48"/>
  <c r="V29" i="48"/>
  <c r="AB59" i="48"/>
  <c r="AB56" i="48"/>
  <c r="AG69" i="48"/>
  <c r="AG71" i="48"/>
  <c r="AG14" i="48" s="1"/>
  <c r="AG62" i="48"/>
  <c r="AM63" i="48"/>
  <c r="AM31" i="48"/>
  <c r="AM58" i="48" s="1"/>
  <c r="AM30" i="48"/>
  <c r="AM29" i="48"/>
  <c r="AM46" i="48" s="1"/>
  <c r="P63" i="48"/>
  <c r="P30" i="48"/>
  <c r="P31" i="48"/>
  <c r="P58" i="48" s="1"/>
  <c r="P29" i="48"/>
  <c r="P46" i="48" s="1"/>
  <c r="L63" i="48"/>
  <c r="L29" i="48"/>
  <c r="L46" i="48" s="1"/>
  <c r="L30" i="48"/>
  <c r="L31" i="48"/>
  <c r="L58" i="48" s="1"/>
  <c r="X86" i="48"/>
  <c r="X90" i="48" s="1"/>
  <c r="Y88" i="48"/>
  <c r="AD63" i="48"/>
  <c r="AD30" i="48"/>
  <c r="AD31" i="48"/>
  <c r="AD58" i="48" s="1"/>
  <c r="AD29" i="48"/>
  <c r="AD46" i="48" s="1"/>
  <c r="AB47" i="48"/>
  <c r="AB44" i="48"/>
  <c r="AJ35" i="48"/>
  <c r="AK32" i="48"/>
  <c r="AN63" i="48"/>
  <c r="AN30" i="48"/>
  <c r="AN31" i="48"/>
  <c r="AN58" i="48" s="1"/>
  <c r="AN29" i="48"/>
  <c r="AN46" i="48" s="1"/>
  <c r="AE52" i="48"/>
  <c r="AE40" i="48"/>
  <c r="O63" i="48"/>
  <c r="O31" i="48"/>
  <c r="O58" i="48" s="1"/>
  <c r="O30" i="48"/>
  <c r="O29" i="48"/>
  <c r="O46" i="48" s="1"/>
  <c r="U63" i="48"/>
  <c r="U30" i="48"/>
  <c r="U31" i="48"/>
  <c r="U58" i="48" s="1"/>
  <c r="U29" i="48"/>
  <c r="U46" i="48" s="1"/>
  <c r="V90" i="48"/>
  <c r="AC29" i="48"/>
  <c r="AC46" i="48" s="1"/>
  <c r="AC63" i="48"/>
  <c r="AC31" i="48"/>
  <c r="AC58" i="48" s="1"/>
  <c r="AC30" i="48"/>
  <c r="Q31" i="48"/>
  <c r="Q58" i="48" s="1"/>
  <c r="Q63" i="48"/>
  <c r="Q30" i="48"/>
  <c r="Q29" i="48"/>
  <c r="Q46" i="48" s="1"/>
  <c r="H77" i="48"/>
  <c r="E87" i="48"/>
  <c r="H87" i="48" s="1"/>
  <c r="J86" i="48"/>
  <c r="J90" i="48" s="1"/>
  <c r="Z63" i="48"/>
  <c r="Z31" i="48"/>
  <c r="Z58" i="48" s="1"/>
  <c r="Z30" i="48"/>
  <c r="Z29" i="48"/>
  <c r="Z46" i="48" s="1"/>
  <c r="AB71" i="48"/>
  <c r="AB14" i="48" s="1"/>
  <c r="AB62" i="48"/>
  <c r="AB69" i="48"/>
  <c r="AP63" i="48"/>
  <c r="AP29" i="48"/>
  <c r="AP46" i="48" s="1"/>
  <c r="AP31" i="48"/>
  <c r="AP58" i="48" s="1"/>
  <c r="AP30" i="48"/>
  <c r="AJ23" i="48"/>
  <c r="AJ24" i="48" s="1"/>
  <c r="AK19" i="48"/>
  <c r="AO63" i="48"/>
  <c r="AO31" i="48"/>
  <c r="AO58" i="48" s="1"/>
  <c r="AO29" i="48"/>
  <c r="AO46" i="48" s="1"/>
  <c r="AO30" i="48"/>
  <c r="AE47" i="48"/>
  <c r="AE44" i="48"/>
  <c r="B53" i="48"/>
  <c r="B59" i="48"/>
  <c r="B47" i="48"/>
  <c r="B41" i="48"/>
  <c r="B28" i="48"/>
  <c r="B34" i="48"/>
  <c r="B35" i="48" s="1"/>
  <c r="AI66" i="48"/>
  <c r="AJ68" i="48"/>
  <c r="V81" i="48"/>
  <c r="G77" i="48"/>
  <c r="I77" i="48" s="1"/>
  <c r="AH90" i="48"/>
  <c r="Y68" i="48"/>
  <c r="X66" i="48"/>
  <c r="X32" i="48"/>
  <c r="W35" i="48"/>
  <c r="AA63" i="48"/>
  <c r="AA30" i="48"/>
  <c r="AA31" i="48"/>
  <c r="AA58" i="48" s="1"/>
  <c r="AA29" i="48"/>
  <c r="AA46" i="48" s="1"/>
  <c r="M19" i="48"/>
  <c r="L23" i="48"/>
  <c r="L24" i="48" s="1"/>
  <c r="AG59" i="48"/>
  <c r="AG56" i="48"/>
  <c r="Y52" i="48"/>
  <c r="Y40" i="48"/>
  <c r="AI63" i="48"/>
  <c r="AI31" i="48"/>
  <c r="AI58" i="48" s="1"/>
  <c r="AI30" i="48"/>
  <c r="AI29" i="48"/>
  <c r="AI46" i="48" s="1"/>
  <c r="D59" i="48"/>
  <c r="D53" i="48"/>
  <c r="D41" i="48"/>
  <c r="D34" i="48"/>
  <c r="D35" i="48" s="1"/>
  <c r="D47" i="48"/>
  <c r="D28" i="48"/>
  <c r="AE59" i="48"/>
  <c r="AE56" i="48"/>
  <c r="R63" i="48"/>
  <c r="R30" i="48"/>
  <c r="R29" i="48"/>
  <c r="R46" i="48" s="1"/>
  <c r="R31" i="48"/>
  <c r="R58" i="48" s="1"/>
  <c r="M63" i="48"/>
  <c r="M31" i="48"/>
  <c r="M58" i="48" s="1"/>
  <c r="M29" i="48"/>
  <c r="M46" i="48" s="1"/>
  <c r="M30" i="48"/>
  <c r="M35" i="48"/>
  <c r="N32" i="48"/>
  <c r="AQ52" i="48"/>
  <c r="AQ40" i="48"/>
  <c r="Y59" i="48"/>
  <c r="Y56" i="48"/>
  <c r="AH63" i="48"/>
  <c r="AH31" i="48"/>
  <c r="AH30" i="48"/>
  <c r="AH35" i="48"/>
  <c r="G28" i="48"/>
  <c r="I28" i="48" s="1"/>
  <c r="AH29" i="48"/>
  <c r="AR63" i="48"/>
  <c r="AR29" i="48"/>
  <c r="AR46" i="48" s="1"/>
  <c r="AR31" i="48"/>
  <c r="AR58" i="48" s="1"/>
  <c r="AR30" i="48"/>
  <c r="AL63" i="48"/>
  <c r="AL29" i="48"/>
  <c r="AL46" i="48" s="1"/>
  <c r="AL31" i="48"/>
  <c r="AL58" i="48" s="1"/>
  <c r="AL30" i="48"/>
  <c r="AE69" i="48"/>
  <c r="AE71" i="48"/>
  <c r="AE14" i="48" s="1"/>
  <c r="AE62" i="48"/>
  <c r="J63" i="48"/>
  <c r="J29" i="48"/>
  <c r="J30" i="48"/>
  <c r="J31" i="48"/>
  <c r="E28" i="48"/>
  <c r="N63" i="48"/>
  <c r="N30" i="48"/>
  <c r="N29" i="48"/>
  <c r="N46" i="48" s="1"/>
  <c r="N31" i="48"/>
  <c r="N58" i="48" s="1"/>
  <c r="H25" i="62"/>
  <c r="L90" i="48" l="1"/>
  <c r="AF59" i="48"/>
  <c r="AF56" i="48"/>
  <c r="T71" i="48"/>
  <c r="T62" i="48"/>
  <c r="T69" i="48"/>
  <c r="AB53" i="48"/>
  <c r="AB50" i="48"/>
  <c r="Z19" i="48"/>
  <c r="Y23" i="48"/>
  <c r="Y24" i="48" s="1"/>
  <c r="AJ44" i="48"/>
  <c r="AJ47" i="48"/>
  <c r="AJ11" i="48" s="1"/>
  <c r="AR47" i="48"/>
  <c r="AR44" i="48"/>
  <c r="AI59" i="48"/>
  <c r="AI56" i="48"/>
  <c r="N71" i="48"/>
  <c r="N62" i="48"/>
  <c r="N69" i="48"/>
  <c r="AR71" i="48"/>
  <c r="AR62" i="48"/>
  <c r="AR69" i="48"/>
  <c r="M69" i="48"/>
  <c r="M71" i="48"/>
  <c r="M62" i="48"/>
  <c r="AI71" i="48"/>
  <c r="AI62" i="48"/>
  <c r="AI69" i="48"/>
  <c r="AA59" i="48"/>
  <c r="AA56" i="48"/>
  <c r="AP59" i="48"/>
  <c r="AP56" i="48"/>
  <c r="U59" i="48"/>
  <c r="U56" i="48"/>
  <c r="AE50" i="48"/>
  <c r="AE53" i="48"/>
  <c r="L52" i="48"/>
  <c r="L40" i="48"/>
  <c r="AM40" i="48"/>
  <c r="AM52" i="48"/>
  <c r="AF69" i="48"/>
  <c r="AF71" i="48"/>
  <c r="AF62" i="48"/>
  <c r="X11" i="48"/>
  <c r="W47" i="48"/>
  <c r="W11" i="48" s="1"/>
  <c r="W44" i="48"/>
  <c r="AS47" i="48"/>
  <c r="AS44" i="48"/>
  <c r="S52" i="48"/>
  <c r="S40" i="48"/>
  <c r="AR59" i="48"/>
  <c r="AR56" i="48"/>
  <c r="AI52" i="48"/>
  <c r="AI40" i="48"/>
  <c r="Y66" i="48"/>
  <c r="Z68" i="48"/>
  <c r="W40" i="48"/>
  <c r="W52" i="48"/>
  <c r="X24" i="48"/>
  <c r="AN72" i="48"/>
  <c r="AL52" i="48"/>
  <c r="AL40" i="48"/>
  <c r="AH46" i="48"/>
  <c r="G29" i="48"/>
  <c r="AQ41" i="48"/>
  <c r="AQ38" i="48"/>
  <c r="R59" i="48"/>
  <c r="R56" i="48"/>
  <c r="Y41" i="48"/>
  <c r="Y38" i="48"/>
  <c r="AA52" i="48"/>
  <c r="AA40" i="48"/>
  <c r="AO52" i="48"/>
  <c r="AO40" i="48"/>
  <c r="AP47" i="48"/>
  <c r="AP44" i="48"/>
  <c r="AC52" i="48"/>
  <c r="AC40" i="48"/>
  <c r="U52" i="48"/>
  <c r="U40" i="48"/>
  <c r="AN47" i="48"/>
  <c r="AN44" i="48"/>
  <c r="AD47" i="48"/>
  <c r="AD44" i="48"/>
  <c r="L44" i="48"/>
  <c r="L47" i="48"/>
  <c r="L11" i="48" s="1"/>
  <c r="AM59" i="48"/>
  <c r="AM56" i="48"/>
  <c r="AG41" i="48"/>
  <c r="AG38" i="48"/>
  <c r="AK47" i="48"/>
  <c r="AK44" i="48"/>
  <c r="AQ14" i="48"/>
  <c r="W59" i="48"/>
  <c r="W56" i="48"/>
  <c r="K52" i="48"/>
  <c r="K40" i="48"/>
  <c r="AS59" i="48"/>
  <c r="AS56" i="48"/>
  <c r="S47" i="48"/>
  <c r="S44" i="48"/>
  <c r="Y74" i="48"/>
  <c r="P69" i="48"/>
  <c r="P71" i="48"/>
  <c r="P62" i="48"/>
  <c r="M83" i="48"/>
  <c r="L81" i="48"/>
  <c r="U47" i="48"/>
  <c r="U44" i="48"/>
  <c r="L59" i="48"/>
  <c r="L56" i="48"/>
  <c r="AK83" i="48"/>
  <c r="AJ81" i="48"/>
  <c r="AF40" i="48"/>
  <c r="AF52" i="48"/>
  <c r="AC83" i="48"/>
  <c r="AB81" i="48"/>
  <c r="AJ71" i="48"/>
  <c r="AJ62" i="48"/>
  <c r="AJ69" i="48"/>
  <c r="J58" i="48"/>
  <c r="E31" i="48"/>
  <c r="AL56" i="48"/>
  <c r="AL59" i="48"/>
  <c r="R47" i="48"/>
  <c r="R44" i="48"/>
  <c r="Y53" i="48"/>
  <c r="Y50" i="48"/>
  <c r="AP71" i="48"/>
  <c r="AP62" i="48"/>
  <c r="AP69" i="48"/>
  <c r="AC59" i="48"/>
  <c r="AC56" i="48"/>
  <c r="AD56" i="48"/>
  <c r="AD59" i="48"/>
  <c r="L71" i="48"/>
  <c r="L62" i="48"/>
  <c r="L69" i="48"/>
  <c r="AM69" i="48"/>
  <c r="AM71" i="48"/>
  <c r="AM62" i="48"/>
  <c r="V46" i="48"/>
  <c r="F29" i="48"/>
  <c r="AG53" i="48"/>
  <c r="AG50" i="48"/>
  <c r="AK59" i="48"/>
  <c r="AK56" i="48"/>
  <c r="X74" i="48"/>
  <c r="W69" i="48"/>
  <c r="W71" i="48"/>
  <c r="W62" i="48"/>
  <c r="K47" i="48"/>
  <c r="K11" i="48" s="1"/>
  <c r="K44" i="48"/>
  <c r="AS52" i="48"/>
  <c r="AS40" i="48"/>
  <c r="S71" i="48"/>
  <c r="S14" i="48" s="1"/>
  <c r="S62" i="48"/>
  <c r="S69" i="48"/>
  <c r="AJ90" i="48"/>
  <c r="N47" i="48"/>
  <c r="N44" i="48"/>
  <c r="M47" i="48"/>
  <c r="M44" i="48"/>
  <c r="N19" i="48"/>
  <c r="M23" i="48"/>
  <c r="M24" i="48" s="1"/>
  <c r="AE38" i="48"/>
  <c r="AE41" i="48"/>
  <c r="AM44" i="48"/>
  <c r="AM47" i="48"/>
  <c r="S59" i="48"/>
  <c r="S56" i="48"/>
  <c r="AO47" i="48"/>
  <c r="AO44" i="48"/>
  <c r="Q47" i="48"/>
  <c r="Q44" i="48"/>
  <c r="U69" i="48"/>
  <c r="U62" i="48"/>
  <c r="U71" i="48"/>
  <c r="U14" i="48" s="1"/>
  <c r="J52" i="48"/>
  <c r="J40" i="48"/>
  <c r="E30" i="48"/>
  <c r="AO59" i="48"/>
  <c r="AO56" i="48"/>
  <c r="Z52" i="48"/>
  <c r="Z40" i="48"/>
  <c r="Q52" i="48"/>
  <c r="Q40" i="48"/>
  <c r="AC69" i="48"/>
  <c r="AC71" i="48"/>
  <c r="AC62" i="48"/>
  <c r="O47" i="48"/>
  <c r="O44" i="48"/>
  <c r="AN52" i="48"/>
  <c r="AN40" i="48"/>
  <c r="AD52" i="48"/>
  <c r="AD40" i="48"/>
  <c r="P47" i="48"/>
  <c r="P44" i="48"/>
  <c r="X41" i="48"/>
  <c r="X38" i="48"/>
  <c r="T59" i="48"/>
  <c r="T56" i="48"/>
  <c r="AK52" i="48"/>
  <c r="AK40" i="48"/>
  <c r="X14" i="48"/>
  <c r="X70" i="48"/>
  <c r="K59" i="48"/>
  <c r="K56" i="48"/>
  <c r="AS69" i="48"/>
  <c r="AS62" i="48"/>
  <c r="AS71" i="48"/>
  <c r="AS14" i="48" s="1"/>
  <c r="Y70" i="48"/>
  <c r="AL88" i="48"/>
  <c r="AK86" i="48"/>
  <c r="AA47" i="48"/>
  <c r="AA44" i="48"/>
  <c r="AP52" i="48"/>
  <c r="AP40" i="48"/>
  <c r="AQ50" i="48"/>
  <c r="AQ53" i="48"/>
  <c r="AA71" i="48"/>
  <c r="AA14" i="48" s="1"/>
  <c r="AA62" i="48"/>
  <c r="AA69" i="48"/>
  <c r="Z47" i="48"/>
  <c r="Z44" i="48"/>
  <c r="AN59" i="48"/>
  <c r="AN56" i="48"/>
  <c r="AL47" i="48"/>
  <c r="AL44" i="48"/>
  <c r="O32" i="48"/>
  <c r="N35" i="48"/>
  <c r="R52" i="48"/>
  <c r="R40" i="48"/>
  <c r="H28" i="48"/>
  <c r="J46" i="48"/>
  <c r="E29" i="48"/>
  <c r="AL71" i="48"/>
  <c r="AL69" i="48"/>
  <c r="AL62" i="48"/>
  <c r="AH52" i="48"/>
  <c r="G30" i="48"/>
  <c r="I30" i="48" s="1"/>
  <c r="AH40" i="48"/>
  <c r="R71" i="48"/>
  <c r="R69" i="48"/>
  <c r="R62" i="48"/>
  <c r="X35" i="48"/>
  <c r="Y32" i="48"/>
  <c r="AK68" i="48"/>
  <c r="AJ66" i="48"/>
  <c r="AO69" i="48"/>
  <c r="AO62" i="48"/>
  <c r="AO71" i="48"/>
  <c r="Z59" i="48"/>
  <c r="Z56" i="48"/>
  <c r="Q69" i="48"/>
  <c r="Q71" i="48"/>
  <c r="Q14" i="48" s="1"/>
  <c r="Q62" i="48"/>
  <c r="AC47" i="48"/>
  <c r="AC44" i="48"/>
  <c r="O52" i="48"/>
  <c r="O40" i="48"/>
  <c r="AN69" i="48"/>
  <c r="AN71" i="48"/>
  <c r="AN62" i="48"/>
  <c r="AD69" i="48"/>
  <c r="AD71" i="48"/>
  <c r="AD62" i="48"/>
  <c r="P59" i="48"/>
  <c r="P56" i="48"/>
  <c r="V52" i="48"/>
  <c r="F30" i="48"/>
  <c r="V40" i="48"/>
  <c r="X53" i="48"/>
  <c r="X50" i="48"/>
  <c r="T52" i="48"/>
  <c r="T40" i="48"/>
  <c r="AK69" i="48"/>
  <c r="AK62" i="48"/>
  <c r="AK71" i="48"/>
  <c r="AJ59" i="48"/>
  <c r="AJ56" i="48"/>
  <c r="M68" i="48"/>
  <c r="L66" i="48"/>
  <c r="AA72" i="48"/>
  <c r="AH71" i="48"/>
  <c r="AH62" i="48"/>
  <c r="G63" i="48"/>
  <c r="I63" i="48" s="1"/>
  <c r="AH69" i="48"/>
  <c r="O69" i="48"/>
  <c r="O71" i="48"/>
  <c r="O62" i="48"/>
  <c r="F63" i="48"/>
  <c r="V69" i="48"/>
  <c r="V62" i="48"/>
  <c r="V71" i="48"/>
  <c r="N52" i="48"/>
  <c r="N40" i="48"/>
  <c r="M59" i="48"/>
  <c r="M56" i="48"/>
  <c r="N56" i="48"/>
  <c r="N59" i="48"/>
  <c r="J71" i="48"/>
  <c r="J69" i="48"/>
  <c r="E63" i="48"/>
  <c r="J62" i="48"/>
  <c r="AR52" i="48"/>
  <c r="AR40" i="48"/>
  <c r="G31" i="48"/>
  <c r="I31" i="48" s="1"/>
  <c r="AH58" i="48"/>
  <c r="M52" i="48"/>
  <c r="M40" i="48"/>
  <c r="AI47" i="48"/>
  <c r="AI11" i="48" s="1"/>
  <c r="AI44" i="48"/>
  <c r="AK23" i="48"/>
  <c r="AK24" i="48" s="1"/>
  <c r="AL19" i="48"/>
  <c r="Z71" i="48"/>
  <c r="Z70" i="48" s="1"/>
  <c r="Z69" i="48"/>
  <c r="Z62" i="48"/>
  <c r="Q59" i="48"/>
  <c r="Q56" i="48"/>
  <c r="O59" i="48"/>
  <c r="O56" i="48"/>
  <c r="AK35" i="48"/>
  <c r="AL32" i="48"/>
  <c r="Z88" i="48"/>
  <c r="Y86" i="48"/>
  <c r="P40" i="48"/>
  <c r="P52" i="48"/>
  <c r="V58" i="48"/>
  <c r="F31" i="48"/>
  <c r="H31" i="48" s="1"/>
  <c r="N88" i="48"/>
  <c r="M86" i="48"/>
  <c r="AF47" i="48"/>
  <c r="AF44" i="48"/>
  <c r="T47" i="48"/>
  <c r="T44" i="48"/>
  <c r="AB41" i="48"/>
  <c r="AB38" i="48"/>
  <c r="K71" i="48"/>
  <c r="K62" i="48"/>
  <c r="K69" i="48"/>
  <c r="AJ52" i="48"/>
  <c r="AJ40" i="48"/>
  <c r="O72" i="48"/>
  <c r="N70" i="48"/>
  <c r="H15" i="62"/>
  <c r="H43" i="62"/>
  <c r="P53" i="48" l="1"/>
  <c r="P50" i="48"/>
  <c r="V47" i="48"/>
  <c r="F46" i="48"/>
  <c r="V44" i="48"/>
  <c r="P14" i="48"/>
  <c r="K38" i="48"/>
  <c r="K41" i="48"/>
  <c r="AO53" i="48"/>
  <c r="AO50" i="48"/>
  <c r="AI41" i="48"/>
  <c r="AI38" i="48"/>
  <c r="AM50" i="48"/>
  <c r="AM53" i="48"/>
  <c r="AI14" i="48"/>
  <c r="AI70" i="48"/>
  <c r="AJ50" i="48"/>
  <c r="AJ53" i="48"/>
  <c r="P41" i="48"/>
  <c r="P38" i="48"/>
  <c r="N53" i="48"/>
  <c r="N50" i="48"/>
  <c r="AK14" i="48"/>
  <c r="AK70" i="48"/>
  <c r="H30" i="48"/>
  <c r="AN14" i="48"/>
  <c r="AL68" i="48"/>
  <c r="AK66" i="48"/>
  <c r="AH41" i="48"/>
  <c r="G40" i="48"/>
  <c r="I40" i="48" s="1"/>
  <c r="AH38" i="48"/>
  <c r="AD53" i="48"/>
  <c r="AD50" i="48"/>
  <c r="Q41" i="48"/>
  <c r="Q38" i="48"/>
  <c r="J41" i="48"/>
  <c r="J38" i="48"/>
  <c r="E40" i="48"/>
  <c r="AJ14" i="48"/>
  <c r="AJ70" i="48"/>
  <c r="K50" i="48"/>
  <c r="K53" i="48"/>
  <c r="U41" i="48"/>
  <c r="U38" i="48"/>
  <c r="AI53" i="48"/>
  <c r="AI50" i="48"/>
  <c r="AM38" i="48"/>
  <c r="AM41" i="48"/>
  <c r="N14" i="48"/>
  <c r="Z23" i="48"/>
  <c r="AA19" i="48"/>
  <c r="N38" i="48"/>
  <c r="N41" i="48"/>
  <c r="V41" i="48"/>
  <c r="V38" i="48"/>
  <c r="F40" i="48"/>
  <c r="J47" i="48"/>
  <c r="E46" i="48"/>
  <c r="J44" i="48"/>
  <c r="AK53" i="48"/>
  <c r="AK50" i="48"/>
  <c r="W70" i="48"/>
  <c r="W14" i="48"/>
  <c r="AJ74" i="48"/>
  <c r="Y11" i="48"/>
  <c r="Y90" i="48"/>
  <c r="M41" i="48"/>
  <c r="M38" i="48"/>
  <c r="F71" i="48"/>
  <c r="H71" i="48" s="1"/>
  <c r="V70" i="48"/>
  <c r="V14" i="48"/>
  <c r="AK74" i="48"/>
  <c r="F52" i="48"/>
  <c r="H52" i="48" s="1"/>
  <c r="V53" i="48"/>
  <c r="F53" i="48" s="1"/>
  <c r="V50" i="48"/>
  <c r="Y35" i="48"/>
  <c r="Z32" i="48"/>
  <c r="AN38" i="48"/>
  <c r="AN41" i="48"/>
  <c r="Q53" i="48"/>
  <c r="Q50" i="48"/>
  <c r="E52" i="48"/>
  <c r="J50" i="48"/>
  <c r="N23" i="48"/>
  <c r="N24" i="48" s="1"/>
  <c r="O19" i="48"/>
  <c r="AM14" i="48"/>
  <c r="U53" i="48"/>
  <c r="U50" i="48"/>
  <c r="AA38" i="48"/>
  <c r="AA41" i="48"/>
  <c r="I29" i="48"/>
  <c r="W50" i="48"/>
  <c r="W53" i="48"/>
  <c r="L41" i="48"/>
  <c r="L38" i="48"/>
  <c r="M14" i="48"/>
  <c r="M70" i="48"/>
  <c r="E62" i="48"/>
  <c r="AH53" i="48"/>
  <c r="AH50" i="48"/>
  <c r="G52" i="48"/>
  <c r="I52" i="48" s="1"/>
  <c r="G71" i="48"/>
  <c r="AH70" i="48"/>
  <c r="AH74" i="48" s="1"/>
  <c r="AH14" i="48"/>
  <c r="G14" i="48" s="1"/>
  <c r="T41" i="48"/>
  <c r="T38" i="48"/>
  <c r="O50" i="48"/>
  <c r="O53" i="48"/>
  <c r="R41" i="48"/>
  <c r="R38" i="48"/>
  <c r="AL11" i="48"/>
  <c r="X10" i="48"/>
  <c r="X15" i="48" s="1"/>
  <c r="Z53" i="48"/>
  <c r="Z50" i="48"/>
  <c r="M11" i="48"/>
  <c r="AS53" i="48"/>
  <c r="AS50" i="48"/>
  <c r="AF53" i="48"/>
  <c r="AF50" i="48"/>
  <c r="AC53" i="48"/>
  <c r="AC50" i="48"/>
  <c r="AL38" i="48"/>
  <c r="AL41" i="48"/>
  <c r="J70" i="48"/>
  <c r="J74" i="48" s="1"/>
  <c r="E71" i="48"/>
  <c r="J14" i="48"/>
  <c r="N68" i="48"/>
  <c r="M66" i="48"/>
  <c r="M74" i="48" s="1"/>
  <c r="O41" i="48"/>
  <c r="O38" i="48"/>
  <c r="AN53" i="48"/>
  <c r="AN50" i="48"/>
  <c r="AA53" i="48"/>
  <c r="AA50" i="48"/>
  <c r="W41" i="48"/>
  <c r="W38" i="48"/>
  <c r="M90" i="48"/>
  <c r="AM32" i="48"/>
  <c r="AL35" i="48"/>
  <c r="H63" i="48"/>
  <c r="T53" i="48"/>
  <c r="T50" i="48"/>
  <c r="AO14" i="48"/>
  <c r="R53" i="48"/>
  <c r="R50" i="48"/>
  <c r="AL86" i="48"/>
  <c r="AM88" i="48"/>
  <c r="AP14" i="48"/>
  <c r="J59" i="48"/>
  <c r="E59" i="48" s="1"/>
  <c r="E58" i="48"/>
  <c r="J56" i="48"/>
  <c r="AF38" i="48"/>
  <c r="AF41" i="48"/>
  <c r="Y10" i="48"/>
  <c r="Y15" i="48" s="1"/>
  <c r="AL53" i="48"/>
  <c r="AL50" i="48"/>
  <c r="S41" i="48"/>
  <c r="S38" i="48"/>
  <c r="AJ41" i="48"/>
  <c r="AJ38" i="48"/>
  <c r="AD41" i="48"/>
  <c r="AD38" i="48"/>
  <c r="K74" i="48"/>
  <c r="M53" i="48"/>
  <c r="M50" i="48"/>
  <c r="G62" i="48"/>
  <c r="Z41" i="48"/>
  <c r="Z38" i="48"/>
  <c r="AS41" i="48"/>
  <c r="AS38" i="48"/>
  <c r="AD83" i="48"/>
  <c r="AC81" i="48"/>
  <c r="AC41" i="48"/>
  <c r="AC38" i="48"/>
  <c r="G46" i="48"/>
  <c r="I46" i="48" s="1"/>
  <c r="AH47" i="48"/>
  <c r="AH44" i="48"/>
  <c r="L53" i="48"/>
  <c r="L50" i="48"/>
  <c r="K14" i="48"/>
  <c r="K70" i="48"/>
  <c r="G58" i="48"/>
  <c r="AH59" i="48"/>
  <c r="G59" i="48" s="1"/>
  <c r="I59" i="48" s="1"/>
  <c r="AH56" i="48"/>
  <c r="N86" i="48"/>
  <c r="O88" i="48"/>
  <c r="Z14" i="48"/>
  <c r="AL23" i="48"/>
  <c r="AL24" i="48" s="1"/>
  <c r="AM19" i="48"/>
  <c r="AR41" i="48"/>
  <c r="AR38" i="48"/>
  <c r="AA70" i="48"/>
  <c r="AB72" i="48"/>
  <c r="AD14" i="48"/>
  <c r="R14" i="48"/>
  <c r="AL14" i="48"/>
  <c r="AL70" i="48"/>
  <c r="AP41" i="48"/>
  <c r="AP38" i="48"/>
  <c r="N11" i="48"/>
  <c r="L14" i="48"/>
  <c r="L70" i="48"/>
  <c r="L74" i="48" s="1"/>
  <c r="N83" i="48"/>
  <c r="M81" i="48"/>
  <c r="AK11" i="48"/>
  <c r="AM70" i="48"/>
  <c r="Z66" i="48"/>
  <c r="Z74" i="48" s="1"/>
  <c r="AA68" i="48"/>
  <c r="S53" i="48"/>
  <c r="S50" i="48"/>
  <c r="AF14" i="48"/>
  <c r="AR14" i="48"/>
  <c r="AA88" i="48"/>
  <c r="Z86" i="48"/>
  <c r="Z90" i="48" s="1"/>
  <c r="V74" i="48"/>
  <c r="F62" i="48"/>
  <c r="H62" i="48" s="1"/>
  <c r="P72" i="48"/>
  <c r="O70" i="48"/>
  <c r="V56" i="48"/>
  <c r="F58" i="48"/>
  <c r="H58" i="48" s="1"/>
  <c r="V59" i="48"/>
  <c r="F59" i="48" s="1"/>
  <c r="AR50" i="48"/>
  <c r="AR53" i="48"/>
  <c r="O14" i="48"/>
  <c r="P32" i="48"/>
  <c r="O35" i="48"/>
  <c r="AP53" i="48"/>
  <c r="AP50" i="48"/>
  <c r="AK41" i="48"/>
  <c r="AK10" i="48" s="1"/>
  <c r="AK15" i="48" s="1"/>
  <c r="AK38" i="48"/>
  <c r="AC14" i="48"/>
  <c r="W74" i="48"/>
  <c r="H29" i="48"/>
  <c r="AL83" i="48"/>
  <c r="AK81" i="48"/>
  <c r="AO38" i="48"/>
  <c r="AO41" i="48"/>
  <c r="AO72" i="48"/>
  <c r="AN70" i="48"/>
  <c r="AI74" i="48"/>
  <c r="T14" i="48"/>
  <c r="H17" i="62"/>
  <c r="H19" i="62"/>
  <c r="I14" i="48" l="1"/>
  <c r="Z24" i="48"/>
  <c r="AM68" i="48"/>
  <c r="AL66" i="48"/>
  <c r="AL74" i="48" s="1"/>
  <c r="O86" i="48"/>
  <c r="P88" i="48"/>
  <c r="AM86" i="48"/>
  <c r="AN88" i="48"/>
  <c r="Y13" i="48"/>
  <c r="H40" i="48"/>
  <c r="Z35" i="48"/>
  <c r="AA32" i="48"/>
  <c r="E47" i="48"/>
  <c r="J11" i="48"/>
  <c r="L9" i="49"/>
  <c r="L51" i="49" s="1"/>
  <c r="H59" i="48"/>
  <c r="AN19" i="48"/>
  <c r="AM23" i="48"/>
  <c r="AM24" i="48" s="1"/>
  <c r="AL90" i="48"/>
  <c r="O68" i="48"/>
  <c r="N66" i="48"/>
  <c r="N74" i="48" s="1"/>
  <c r="I71" i="48"/>
  <c r="E53" i="48"/>
  <c r="H53" i="48" s="1"/>
  <c r="M10" i="48"/>
  <c r="M15" i="48" s="1"/>
  <c r="AI10" i="48"/>
  <c r="AI15" i="48" s="1"/>
  <c r="H46" i="48"/>
  <c r="AA66" i="48"/>
  <c r="AA74" i="48" s="1"/>
  <c r="AB68" i="48"/>
  <c r="G47" i="48"/>
  <c r="I47" i="48" s="1"/>
  <c r="AH11" i="48"/>
  <c r="AN32" i="48"/>
  <c r="AM35" i="48"/>
  <c r="E14" i="48"/>
  <c r="F41" i="48"/>
  <c r="H41" i="48" s="1"/>
  <c r="V10" i="48"/>
  <c r="F47" i="48"/>
  <c r="H47" i="48" s="1"/>
  <c r="V11" i="48"/>
  <c r="O83" i="48"/>
  <c r="N81" i="48"/>
  <c r="Z10" i="48"/>
  <c r="Z15" i="48" s="1"/>
  <c r="N10" i="48"/>
  <c r="N15" i="48" s="1"/>
  <c r="AM83" i="48"/>
  <c r="AL81" i="48"/>
  <c r="AE83" i="48"/>
  <c r="AD81" i="48"/>
  <c r="AP72" i="48"/>
  <c r="AO70" i="48"/>
  <c r="AB88" i="48"/>
  <c r="AA86" i="48"/>
  <c r="Q32" i="48"/>
  <c r="P35" i="48"/>
  <c r="I62" i="48"/>
  <c r="AJ10" i="48"/>
  <c r="AJ15" i="48" s="1"/>
  <c r="AJ13" i="48"/>
  <c r="G53" i="48"/>
  <c r="I53" i="48" s="1"/>
  <c r="L10" i="48"/>
  <c r="L15" i="48" s="1"/>
  <c r="Z11" i="48"/>
  <c r="E41" i="48"/>
  <c r="J10" i="48"/>
  <c r="AB70" i="48"/>
  <c r="AC72" i="48"/>
  <c r="I58" i="48"/>
  <c r="Q72" i="48"/>
  <c r="P70" i="48"/>
  <c r="X13" i="48"/>
  <c r="AK90" i="48"/>
  <c r="O23" i="48"/>
  <c r="P19" i="48"/>
  <c r="F14" i="48"/>
  <c r="H14" i="48" s="1"/>
  <c r="G41" i="48"/>
  <c r="AH10" i="48"/>
  <c r="K10" i="48"/>
  <c r="K15" i="48" s="1"/>
  <c r="W10" i="48"/>
  <c r="W15" i="48" s="1"/>
  <c r="W13" i="48"/>
  <c r="AL10" i="48"/>
  <c r="AL15" i="48" s="1"/>
  <c r="AA23" i="48"/>
  <c r="AA24" i="48" s="1"/>
  <c r="AB19" i="48"/>
  <c r="E49" i="62"/>
  <c r="D49" i="62"/>
  <c r="C49" i="62"/>
  <c r="D40" i="49"/>
  <c r="U40" i="47" s="1"/>
  <c r="E40" i="49"/>
  <c r="AG40" i="47" s="1"/>
  <c r="C40" i="49"/>
  <c r="I40" i="47" s="1"/>
  <c r="C65" i="62"/>
  <c r="D65" i="62"/>
  <c r="E65" i="62"/>
  <c r="C54" i="62"/>
  <c r="D54" i="62"/>
  <c r="E54" i="62"/>
  <c r="C55" i="62"/>
  <c r="D55" i="62"/>
  <c r="E55" i="62"/>
  <c r="C56" i="62"/>
  <c r="D56" i="62"/>
  <c r="E56" i="62"/>
  <c r="C57" i="62"/>
  <c r="D57" i="62"/>
  <c r="E57" i="62"/>
  <c r="C58" i="62"/>
  <c r="D58" i="62"/>
  <c r="E58" i="62"/>
  <c r="C59" i="62"/>
  <c r="D59" i="62"/>
  <c r="E59" i="62"/>
  <c r="C60" i="62"/>
  <c r="D60" i="62"/>
  <c r="E60" i="62"/>
  <c r="C61" i="62"/>
  <c r="D61" i="62"/>
  <c r="E61" i="62"/>
  <c r="C70" i="62"/>
  <c r="D70" i="62"/>
  <c r="E70" i="62"/>
  <c r="C71" i="62"/>
  <c r="D71" i="62"/>
  <c r="E71" i="62"/>
  <c r="C72" i="62"/>
  <c r="D72" i="62"/>
  <c r="E72" i="62"/>
  <c r="C73" i="62"/>
  <c r="D73" i="62"/>
  <c r="E73" i="62"/>
  <c r="C74" i="62"/>
  <c r="D74" i="62"/>
  <c r="E74" i="62"/>
  <c r="C75" i="62"/>
  <c r="D75" i="62"/>
  <c r="E75" i="62"/>
  <c r="C76" i="62"/>
  <c r="D76" i="62"/>
  <c r="E76" i="62"/>
  <c r="C77" i="62"/>
  <c r="D77" i="62"/>
  <c r="E77" i="62"/>
  <c r="C78" i="62"/>
  <c r="D78" i="62"/>
  <c r="E78" i="62"/>
  <c r="C79" i="62"/>
  <c r="D79" i="62"/>
  <c r="E79" i="62"/>
  <c r="C80" i="62"/>
  <c r="D80" i="62"/>
  <c r="E80" i="62"/>
  <c r="C81" i="62"/>
  <c r="D81" i="62"/>
  <c r="E81" i="62"/>
  <c r="C82" i="62"/>
  <c r="D82" i="62"/>
  <c r="E82" i="62"/>
  <c r="C83" i="62"/>
  <c r="D83" i="62"/>
  <c r="E83" i="62"/>
  <c r="C84" i="62"/>
  <c r="D84" i="62"/>
  <c r="E84" i="62"/>
  <c r="C85" i="62"/>
  <c r="D85" i="62"/>
  <c r="E85" i="62"/>
  <c r="C86" i="62"/>
  <c r="D86" i="62"/>
  <c r="E86" i="62"/>
  <c r="C87" i="62"/>
  <c r="D87" i="62"/>
  <c r="E87" i="62"/>
  <c r="C88" i="62"/>
  <c r="D88" i="62"/>
  <c r="E88" i="62"/>
  <c r="C89" i="62"/>
  <c r="D89" i="62"/>
  <c r="E89" i="62"/>
  <c r="K13" i="48" l="1"/>
  <c r="AL13" i="48"/>
  <c r="L13" i="48"/>
  <c r="AN83" i="48"/>
  <c r="AM81" i="48"/>
  <c r="V15" i="48"/>
  <c r="M13" i="48"/>
  <c r="AO19" i="48"/>
  <c r="AN23" i="48"/>
  <c r="AN24" i="48" s="1"/>
  <c r="P86" i="48"/>
  <c r="Q88" i="48"/>
  <c r="AA90" i="48"/>
  <c r="AA11" i="48"/>
  <c r="AH15" i="48"/>
  <c r="J13" i="48"/>
  <c r="AA10" i="48"/>
  <c r="AA15" i="48" s="1"/>
  <c r="AC88" i="48"/>
  <c r="AB86" i="48"/>
  <c r="AC68" i="48"/>
  <c r="AB66" i="48"/>
  <c r="AB74" i="48" s="1"/>
  <c r="O11" i="48"/>
  <c r="AK13" i="48"/>
  <c r="AI13" i="48"/>
  <c r="AA35" i="48"/>
  <c r="AB32" i="48"/>
  <c r="AN86" i="48"/>
  <c r="AO88" i="48"/>
  <c r="AH13" i="48"/>
  <c r="R72" i="48"/>
  <c r="Q70" i="48"/>
  <c r="AB23" i="48"/>
  <c r="AB24" i="48" s="1"/>
  <c r="AC19" i="48"/>
  <c r="Q19" i="48"/>
  <c r="P23" i="48"/>
  <c r="P24" i="48" s="1"/>
  <c r="AF83" i="48"/>
  <c r="AE81" i="48"/>
  <c r="AN35" i="48"/>
  <c r="AO32" i="48"/>
  <c r="P68" i="48"/>
  <c r="O66" i="48"/>
  <c r="O74" i="48" s="1"/>
  <c r="N90" i="48"/>
  <c r="Z13" i="48"/>
  <c r="AM90" i="48"/>
  <c r="AM11" i="48"/>
  <c r="AN68" i="48"/>
  <c r="AM66" i="48"/>
  <c r="I41" i="48"/>
  <c r="J15" i="48"/>
  <c r="AQ72" i="48"/>
  <c r="AP70" i="48"/>
  <c r="O24" i="48"/>
  <c r="AC70" i="48"/>
  <c r="AD72" i="48"/>
  <c r="Q35" i="48"/>
  <c r="R32" i="48"/>
  <c r="P83" i="48"/>
  <c r="O81" i="48"/>
  <c r="V13" i="48"/>
  <c r="N13" i="48" l="1"/>
  <c r="AE72" i="48"/>
  <c r="AD70" i="48"/>
  <c r="AM74" i="48"/>
  <c r="AM10" i="48"/>
  <c r="S72" i="48"/>
  <c r="R70" i="48"/>
  <c r="O90" i="48"/>
  <c r="P11" i="48"/>
  <c r="P10" i="48"/>
  <c r="P15" i="48" s="1"/>
  <c r="AO83" i="48"/>
  <c r="AN81" i="48"/>
  <c r="AG83" i="48"/>
  <c r="AG81" i="48" s="1"/>
  <c r="AF81" i="48"/>
  <c r="R88" i="48"/>
  <c r="Q86" i="48"/>
  <c r="Q68" i="48"/>
  <c r="P66" i="48"/>
  <c r="P74" i="48" s="1"/>
  <c r="AO35" i="48"/>
  <c r="AP32" i="48"/>
  <c r="AC66" i="48"/>
  <c r="AC74" i="48" s="1"/>
  <c r="AD68" i="48"/>
  <c r="AP19" i="48"/>
  <c r="AO23" i="48"/>
  <c r="AO24" i="48" s="1"/>
  <c r="AO68" i="48"/>
  <c r="AN66" i="48"/>
  <c r="AN74" i="48" s="1"/>
  <c r="Q83" i="48"/>
  <c r="P81" i="48"/>
  <c r="AQ70" i="48"/>
  <c r="AR72" i="48"/>
  <c r="Q23" i="48"/>
  <c r="Q24" i="48" s="1"/>
  <c r="R19" i="48"/>
  <c r="AP88" i="48"/>
  <c r="AO86" i="48"/>
  <c r="AB90" i="48"/>
  <c r="AB11" i="48"/>
  <c r="AB10" i="48"/>
  <c r="AB15" i="48" s="1"/>
  <c r="AC23" i="48"/>
  <c r="AC24" i="48" s="1"/>
  <c r="AD19" i="48"/>
  <c r="AN90" i="48"/>
  <c r="AN11" i="48"/>
  <c r="AN10" i="48"/>
  <c r="AN15" i="48" s="1"/>
  <c r="AD88" i="48"/>
  <c r="AC86" i="48"/>
  <c r="AB35" i="48"/>
  <c r="AC32" i="48"/>
  <c r="O10" i="48"/>
  <c r="R35" i="48"/>
  <c r="S32" i="48"/>
  <c r="AN13" i="48" l="1"/>
  <c r="O13" i="48"/>
  <c r="S19" i="48"/>
  <c r="R23" i="48"/>
  <c r="R24" i="48" s="1"/>
  <c r="AP35" i="48"/>
  <c r="AQ32" i="48"/>
  <c r="P90" i="48"/>
  <c r="AC90" i="48"/>
  <c r="AC11" i="48"/>
  <c r="AC10" i="48"/>
  <c r="Q81" i="48"/>
  <c r="R83" i="48"/>
  <c r="S35" i="48"/>
  <c r="T32" i="48"/>
  <c r="O15" i="48"/>
  <c r="AD86" i="48"/>
  <c r="AE88" i="48"/>
  <c r="AP68" i="48"/>
  <c r="AO66" i="48"/>
  <c r="AO74" i="48" s="1"/>
  <c r="S70" i="48"/>
  <c r="T72" i="48"/>
  <c r="AF72" i="48"/>
  <c r="AE70" i="48"/>
  <c r="Q66" i="48"/>
  <c r="Q74" i="48" s="1"/>
  <c r="R68" i="48"/>
  <c r="AO90" i="48"/>
  <c r="AO11" i="48"/>
  <c r="AD66" i="48"/>
  <c r="AD74" i="48" s="1"/>
  <c r="AE68" i="48"/>
  <c r="S88" i="48"/>
  <c r="R86" i="48"/>
  <c r="AC35" i="48"/>
  <c r="AD32" i="48"/>
  <c r="AR70" i="48"/>
  <c r="AS72" i="48"/>
  <c r="AP23" i="48"/>
  <c r="AP24" i="48" s="1"/>
  <c r="AQ19" i="48"/>
  <c r="Q90" i="48"/>
  <c r="Q11" i="48"/>
  <c r="AO81" i="48"/>
  <c r="AP83" i="48"/>
  <c r="AM15" i="48"/>
  <c r="AE19" i="48"/>
  <c r="AD23" i="48"/>
  <c r="AD24" i="48" s="1"/>
  <c r="AQ88" i="48"/>
  <c r="AP86" i="48"/>
  <c r="AA13" i="48"/>
  <c r="P13" i="48" l="1"/>
  <c r="R90" i="48"/>
  <c r="R11" i="48"/>
  <c r="AQ35" i="48"/>
  <c r="AR32" i="48"/>
  <c r="AF19" i="48"/>
  <c r="AE23" i="48"/>
  <c r="AE24" i="48" s="1"/>
  <c r="AB13" i="48"/>
  <c r="AP81" i="48"/>
  <c r="AQ83" i="48"/>
  <c r="AS70" i="48"/>
  <c r="T88" i="48"/>
  <c r="S86" i="48"/>
  <c r="AF68" i="48"/>
  <c r="AE66" i="48"/>
  <c r="AE74" i="48" s="1"/>
  <c r="R66" i="48"/>
  <c r="R74" i="48" s="1"/>
  <c r="S68" i="48"/>
  <c r="U32" i="48"/>
  <c r="U35" i="48" s="1"/>
  <c r="T35" i="48"/>
  <c r="R81" i="48"/>
  <c r="S83" i="48"/>
  <c r="AP90" i="48"/>
  <c r="AP11" i="48"/>
  <c r="AD35" i="48"/>
  <c r="AE32" i="48"/>
  <c r="AC15" i="48"/>
  <c r="AR88" i="48"/>
  <c r="AQ86" i="48"/>
  <c r="Q10" i="48"/>
  <c r="AC13" i="48"/>
  <c r="AO10" i="48"/>
  <c r="AP66" i="48"/>
  <c r="AP74" i="48" s="1"/>
  <c r="AQ68" i="48"/>
  <c r="AM13" i="48"/>
  <c r="S23" i="48"/>
  <c r="S24" i="48" s="1"/>
  <c r="T19" i="48"/>
  <c r="AG72" i="48"/>
  <c r="AF70" i="48"/>
  <c r="AE86" i="48"/>
  <c r="AF88" i="48"/>
  <c r="AQ23" i="48"/>
  <c r="AQ24" i="48" s="1"/>
  <c r="AR19" i="48"/>
  <c r="T70" i="48"/>
  <c r="U72" i="48"/>
  <c r="U70" i="48" s="1"/>
  <c r="AD90" i="48"/>
  <c r="AD11" i="48"/>
  <c r="AD10" i="48" s="1"/>
  <c r="C53" i="62"/>
  <c r="D53" i="62"/>
  <c r="E53" i="62"/>
  <c r="C62" i="62"/>
  <c r="D62" i="62"/>
  <c r="E62" i="62"/>
  <c r="C63" i="62"/>
  <c r="D63" i="62"/>
  <c r="E63" i="62"/>
  <c r="C64" i="62"/>
  <c r="D64" i="62"/>
  <c r="E64" i="62"/>
  <c r="C66" i="62"/>
  <c r="D66" i="62"/>
  <c r="E66" i="62"/>
  <c r="C67" i="62"/>
  <c r="D67" i="62"/>
  <c r="E67" i="62"/>
  <c r="C68" i="62"/>
  <c r="D68" i="62"/>
  <c r="E68" i="62"/>
  <c r="C69" i="62"/>
  <c r="D69" i="62"/>
  <c r="E69" i="62"/>
  <c r="D52" i="62"/>
  <c r="E52" i="62"/>
  <c r="C52" i="62"/>
  <c r="E28" i="47"/>
  <c r="F28" i="47"/>
  <c r="E29" i="47"/>
  <c r="F29" i="47"/>
  <c r="B43" i="62"/>
  <c r="B41" i="62"/>
  <c r="B37" i="62"/>
  <c r="B39" i="62"/>
  <c r="B33" i="62"/>
  <c r="B35" i="62"/>
  <c r="B29" i="62"/>
  <c r="E22" i="62"/>
  <c r="D22" i="62"/>
  <c r="C22" i="62"/>
  <c r="B27" i="62"/>
  <c r="B25" i="62"/>
  <c r="B23" i="62"/>
  <c r="B21" i="62"/>
  <c r="B17" i="62"/>
  <c r="B15" i="62"/>
  <c r="B13" i="62"/>
  <c r="B11" i="62"/>
  <c r="B9" i="62"/>
  <c r="B7" i="62"/>
  <c r="B5" i="62"/>
  <c r="AD15" i="48" l="1"/>
  <c r="AG70" i="48"/>
  <c r="G72" i="48"/>
  <c r="AO15" i="48"/>
  <c r="S66" i="48"/>
  <c r="S74" i="48" s="1"/>
  <c r="T68" i="48"/>
  <c r="S81" i="48"/>
  <c r="T83" i="48"/>
  <c r="AQ81" i="48"/>
  <c r="AR83" i="48"/>
  <c r="R10" i="48"/>
  <c r="R15" i="48" s="1"/>
  <c r="T23" i="48"/>
  <c r="T24" i="48" s="1"/>
  <c r="U19" i="48"/>
  <c r="U23" i="48" s="1"/>
  <c r="Q13" i="48"/>
  <c r="AR23" i="48"/>
  <c r="AR24" i="48" s="1"/>
  <c r="AS19" i="48"/>
  <c r="AS23" i="48" s="1"/>
  <c r="Q15" i="48"/>
  <c r="AF32" i="48"/>
  <c r="AE35" i="48"/>
  <c r="AG68" i="48"/>
  <c r="AG66" i="48" s="1"/>
  <c r="AG74" i="48" s="1"/>
  <c r="AF66" i="48"/>
  <c r="AF74" i="48" s="1"/>
  <c r="AQ90" i="48"/>
  <c r="AQ11" i="48"/>
  <c r="S90" i="48"/>
  <c r="S11" i="48"/>
  <c r="S10" i="48"/>
  <c r="S15" i="48" s="1"/>
  <c r="AF86" i="48"/>
  <c r="AG88" i="48"/>
  <c r="AG86" i="48" s="1"/>
  <c r="AS88" i="48"/>
  <c r="AR86" i="48"/>
  <c r="AP10" i="48"/>
  <c r="AP15" i="48" s="1"/>
  <c r="U88" i="48"/>
  <c r="U86" i="48" s="1"/>
  <c r="T86" i="48"/>
  <c r="AO13" i="48"/>
  <c r="AE90" i="48"/>
  <c r="AE11" i="48"/>
  <c r="AE10" i="48"/>
  <c r="AE15" i="48" s="1"/>
  <c r="AQ66" i="48"/>
  <c r="AQ74" i="48" s="1"/>
  <c r="AR68" i="48"/>
  <c r="F72" i="48"/>
  <c r="AF23" i="48"/>
  <c r="AF24" i="48" s="1"/>
  <c r="AG19" i="48"/>
  <c r="AG23" i="48" s="1"/>
  <c r="E72" i="48"/>
  <c r="AR35" i="48"/>
  <c r="AS32" i="48"/>
  <c r="AS35" i="48" s="1"/>
  <c r="C51" i="62"/>
  <c r="C30" i="62" s="1"/>
  <c r="E51" i="62"/>
  <c r="E30" i="62" s="1"/>
  <c r="D51" i="62"/>
  <c r="D30" i="62" s="1"/>
  <c r="F22" i="62"/>
  <c r="U90" i="48" l="1"/>
  <c r="U11" i="48"/>
  <c r="U10" i="48"/>
  <c r="U15" i="48" s="1"/>
  <c r="AG90" i="48"/>
  <c r="AG11" i="48"/>
  <c r="AG10" i="48"/>
  <c r="AG15" i="48" s="1"/>
  <c r="E10" i="48"/>
  <c r="E15" i="48" s="1"/>
  <c r="AS83" i="48"/>
  <c r="AR81" i="48"/>
  <c r="U68" i="48"/>
  <c r="U66" i="48" s="1"/>
  <c r="U74" i="48" s="1"/>
  <c r="T66" i="48"/>
  <c r="T74" i="48" s="1"/>
  <c r="F35" i="48"/>
  <c r="G35" i="48"/>
  <c r="E35" i="48"/>
  <c r="E32" i="48" s="1"/>
  <c r="T11" i="48"/>
  <c r="T10" i="48"/>
  <c r="T15" i="48" s="1"/>
  <c r="AF90" i="48"/>
  <c r="AF11" i="48"/>
  <c r="AF10" i="48"/>
  <c r="S13" i="48"/>
  <c r="AS24" i="48"/>
  <c r="G24" i="48" s="1"/>
  <c r="G27" i="48" s="1"/>
  <c r="G23" i="48"/>
  <c r="I72" i="48"/>
  <c r="AS68" i="48"/>
  <c r="AR66" i="48"/>
  <c r="AR74" i="48" s="1"/>
  <c r="U83" i="48"/>
  <c r="U81" i="48" s="1"/>
  <c r="T81" i="48"/>
  <c r="AG24" i="48"/>
  <c r="F24" i="48" s="1"/>
  <c r="F27" i="48" s="1"/>
  <c r="F23" i="48"/>
  <c r="AD13" i="48"/>
  <c r="AP13" i="48"/>
  <c r="U24" i="48"/>
  <c r="E24" i="48" s="1"/>
  <c r="E27" i="48" s="1"/>
  <c r="E23" i="48"/>
  <c r="R13" i="48"/>
  <c r="AR90" i="48"/>
  <c r="AR11" i="48"/>
  <c r="AR10" i="48" s="1"/>
  <c r="AR15" i="48" s="1"/>
  <c r="H72" i="48"/>
  <c r="AS86" i="48"/>
  <c r="G88" i="48"/>
  <c r="E88" i="48"/>
  <c r="F88" i="48"/>
  <c r="AQ10" i="48"/>
  <c r="AG32" i="48"/>
  <c r="AG35" i="48" s="1"/>
  <c r="AF35" i="48"/>
  <c r="F30" i="62"/>
  <c r="AR13" i="48" l="1"/>
  <c r="AF13" i="48"/>
  <c r="AE13" i="48"/>
  <c r="AS66" i="48"/>
  <c r="AS74" i="48" s="1"/>
  <c r="G68" i="48"/>
  <c r="F68" i="48"/>
  <c r="H68" i="48" s="1"/>
  <c r="E68" i="48"/>
  <c r="T13" i="48"/>
  <c r="I88" i="48"/>
  <c r="AG13" i="48"/>
  <c r="U13" i="48"/>
  <c r="AQ15" i="48"/>
  <c r="G10" i="48"/>
  <c r="T90" i="48"/>
  <c r="H88" i="48"/>
  <c r="AS81" i="48"/>
  <c r="E83" i="48"/>
  <c r="G83" i="48"/>
  <c r="I83" i="48" s="1"/>
  <c r="F83" i="48"/>
  <c r="I35" i="48"/>
  <c r="G32" i="48"/>
  <c r="AF15" i="48"/>
  <c r="F10" i="48"/>
  <c r="F32" i="48"/>
  <c r="H35" i="48"/>
  <c r="AS90" i="48"/>
  <c r="AS11" i="48"/>
  <c r="AS10" i="48"/>
  <c r="AS15" i="48" s="1"/>
  <c r="G86" i="48"/>
  <c r="I86" i="48" s="1"/>
  <c r="E86" i="48"/>
  <c r="F86" i="48"/>
  <c r="H86" i="48" s="1"/>
  <c r="AQ13" i="48"/>
  <c r="I68" i="48" l="1"/>
  <c r="E11" i="48"/>
  <c r="G11" i="48"/>
  <c r="F11" i="48"/>
  <c r="H83" i="48"/>
  <c r="F74" i="48"/>
  <c r="G74" i="48"/>
  <c r="I74" i="48" s="1"/>
  <c r="E74" i="48"/>
  <c r="G15" i="48"/>
  <c r="I10" i="48"/>
  <c r="E90" i="48"/>
  <c r="G90" i="48"/>
  <c r="I90" i="48" s="1"/>
  <c r="F90" i="48"/>
  <c r="E81" i="48"/>
  <c r="F81" i="48"/>
  <c r="H81" i="48" s="1"/>
  <c r="G81" i="48"/>
  <c r="F15" i="48"/>
  <c r="H15" i="48" s="1"/>
  <c r="H10" i="48"/>
  <c r="H11" i="48" l="1"/>
  <c r="I15" i="48"/>
  <c r="H90" i="48"/>
  <c r="H74" i="48"/>
  <c r="I11" i="48"/>
  <c r="G12" i="48"/>
  <c r="E12" i="48"/>
  <c r="F12" i="48"/>
  <c r="H12" i="48" s="1"/>
  <c r="I81" i="48"/>
  <c r="AS13" i="48"/>
  <c r="E9" i="48"/>
  <c r="G9" i="48"/>
  <c r="F9" i="48"/>
  <c r="I12" i="48" l="1"/>
  <c r="F13" i="48"/>
  <c r="H9" i="48"/>
  <c r="G13" i="48"/>
  <c r="I9" i="48"/>
  <c r="E13" i="48"/>
  <c r="L38" i="49" l="1"/>
  <c r="X38" i="49"/>
  <c r="AJ38" i="49"/>
  <c r="Y38" i="49" l="1"/>
  <c r="X80" i="49"/>
  <c r="M38" i="49"/>
  <c r="L80" i="49"/>
  <c r="AK38" i="49"/>
  <c r="AJ80" i="49"/>
  <c r="N38" i="49" l="1"/>
  <c r="M80" i="49"/>
  <c r="AL38" i="49"/>
  <c r="AK80" i="49"/>
  <c r="Z38" i="49"/>
  <c r="Y80" i="49"/>
  <c r="AM38" i="49" l="1"/>
  <c r="AL80" i="49"/>
  <c r="AA38" i="49"/>
  <c r="Z80" i="49"/>
  <c r="O38" i="49"/>
  <c r="N80" i="49"/>
  <c r="AM80" i="49" l="1"/>
  <c r="AN38" i="49"/>
  <c r="AB38" i="49"/>
  <c r="AA80" i="49"/>
  <c r="O80" i="49"/>
  <c r="P38" i="49"/>
  <c r="C8" i="50"/>
  <c r="AB80" i="49" l="1"/>
  <c r="AC38" i="49"/>
  <c r="Q38" i="49"/>
  <c r="P80" i="49"/>
  <c r="AO38" i="49"/>
  <c r="AN80" i="49"/>
  <c r="G2" i="52"/>
  <c r="B20" i="50"/>
  <c r="B21" i="50"/>
  <c r="B22" i="50" s="1"/>
  <c r="B19" i="50"/>
  <c r="R38" i="49" l="1"/>
  <c r="Q80" i="49"/>
  <c r="AP38" i="49"/>
  <c r="AO80" i="49"/>
  <c r="AD38" i="49"/>
  <c r="AC80" i="49"/>
  <c r="D8" i="50"/>
  <c r="S38" i="49" l="1"/>
  <c r="R80" i="49"/>
  <c r="AQ38" i="49"/>
  <c r="AP80" i="49"/>
  <c r="AE38" i="49"/>
  <c r="AD80" i="49"/>
  <c r="AF38" i="49" l="1"/>
  <c r="AE80" i="49"/>
  <c r="AR38" i="49"/>
  <c r="AQ80" i="49"/>
  <c r="T38" i="49"/>
  <c r="S80" i="49"/>
  <c r="L32" i="49"/>
  <c r="X32" i="49"/>
  <c r="X74" i="49" s="1"/>
  <c r="AJ32" i="49"/>
  <c r="L33" i="49"/>
  <c r="X33" i="49"/>
  <c r="AJ33" i="49"/>
  <c r="L34" i="49"/>
  <c r="L76" i="49" s="1"/>
  <c r="X34" i="49"/>
  <c r="AJ34" i="49"/>
  <c r="L35" i="49"/>
  <c r="X35" i="49"/>
  <c r="AJ35" i="49"/>
  <c r="L36" i="49"/>
  <c r="X36" i="49"/>
  <c r="AJ36" i="49"/>
  <c r="L37" i="49"/>
  <c r="X37" i="49"/>
  <c r="AJ37" i="49"/>
  <c r="L39" i="49"/>
  <c r="X39" i="49"/>
  <c r="X81" i="49" s="1"/>
  <c r="AJ39" i="49"/>
  <c r="L26" i="49"/>
  <c r="X26" i="49"/>
  <c r="AJ26" i="49"/>
  <c r="L23" i="49"/>
  <c r="L65" i="49" s="1"/>
  <c r="X23" i="49"/>
  <c r="AJ23" i="49"/>
  <c r="L12" i="49"/>
  <c r="L54" i="49" s="1"/>
  <c r="X12" i="49"/>
  <c r="AJ12" i="49"/>
  <c r="L6" i="49"/>
  <c r="M6" i="49" s="1"/>
  <c r="N6" i="49" s="1"/>
  <c r="X6" i="49"/>
  <c r="Y6" i="49" s="1"/>
  <c r="Z6" i="49" s="1"/>
  <c r="AA6" i="49" s="1"/>
  <c r="AB6" i="49" s="1"/>
  <c r="AC6" i="49" s="1"/>
  <c r="AD6" i="49" s="1"/>
  <c r="AE6" i="49" s="1"/>
  <c r="AF6" i="49" s="1"/>
  <c r="AG6" i="49" s="1"/>
  <c r="AH6" i="49" s="1"/>
  <c r="AI6" i="49" s="1"/>
  <c r="AJ6" i="49"/>
  <c r="AK6" i="49" s="1"/>
  <c r="AL6" i="49" s="1"/>
  <c r="AM6" i="49" s="1"/>
  <c r="AN6" i="49" s="1"/>
  <c r="AO6" i="49" s="1"/>
  <c r="AP6" i="49" s="1"/>
  <c r="AQ6" i="49" s="1"/>
  <c r="AR6" i="49" s="1"/>
  <c r="AS6" i="49" s="1"/>
  <c r="AT6" i="49" s="1"/>
  <c r="AU6" i="49" s="1"/>
  <c r="L7" i="49"/>
  <c r="X7" i="49"/>
  <c r="AJ7" i="49"/>
  <c r="L8" i="49"/>
  <c r="X8" i="49"/>
  <c r="AJ8" i="49"/>
  <c r="Y26" i="49" l="1"/>
  <c r="X68" i="49"/>
  <c r="M39" i="49"/>
  <c r="L81" i="49"/>
  <c r="Y8" i="49"/>
  <c r="X50" i="49"/>
  <c r="AK12" i="49"/>
  <c r="AJ54" i="49"/>
  <c r="M26" i="49"/>
  <c r="L68" i="49"/>
  <c r="AK37" i="49"/>
  <c r="AJ79" i="49"/>
  <c r="Y36" i="49"/>
  <c r="X78" i="49"/>
  <c r="M35" i="49"/>
  <c r="L77" i="49"/>
  <c r="AK33" i="49"/>
  <c r="AJ75" i="49"/>
  <c r="M8" i="49"/>
  <c r="M50" i="49" s="1"/>
  <c r="L50" i="49"/>
  <c r="Y12" i="49"/>
  <c r="X54" i="49"/>
  <c r="AK39" i="49"/>
  <c r="AJ81" i="49"/>
  <c r="Y37" i="49"/>
  <c r="Y79" i="49" s="1"/>
  <c r="X79" i="49"/>
  <c r="M36" i="49"/>
  <c r="L78" i="49"/>
  <c r="AK34" i="49"/>
  <c r="AJ76" i="49"/>
  <c r="Y33" i="49"/>
  <c r="X75" i="49"/>
  <c r="M32" i="49"/>
  <c r="L74" i="49"/>
  <c r="AS38" i="49"/>
  <c r="AR80" i="49"/>
  <c r="AK8" i="49"/>
  <c r="AJ50" i="49"/>
  <c r="Y7" i="49"/>
  <c r="X49" i="49"/>
  <c r="AK23" i="49"/>
  <c r="AJ65" i="49"/>
  <c r="AK36" i="49"/>
  <c r="AJ78" i="49"/>
  <c r="Y35" i="49"/>
  <c r="X77" i="49"/>
  <c r="AK32" i="49"/>
  <c r="AJ74" i="49"/>
  <c r="M7" i="49"/>
  <c r="M49" i="49" s="1"/>
  <c r="L49" i="49"/>
  <c r="Y23" i="49"/>
  <c r="X65" i="49"/>
  <c r="AK7" i="49"/>
  <c r="AJ49" i="49"/>
  <c r="AK26" i="49"/>
  <c r="AJ68" i="49"/>
  <c r="M37" i="49"/>
  <c r="L79" i="49"/>
  <c r="AK35" i="49"/>
  <c r="AJ77" i="49"/>
  <c r="Y34" i="49"/>
  <c r="Y76" i="49" s="1"/>
  <c r="X76" i="49"/>
  <c r="M33" i="49"/>
  <c r="M75" i="49" s="1"/>
  <c r="L75" i="49"/>
  <c r="U38" i="49"/>
  <c r="T80" i="49"/>
  <c r="AG38" i="49"/>
  <c r="AF80" i="49"/>
  <c r="J6" i="49"/>
  <c r="Y32" i="49"/>
  <c r="K6" i="49"/>
  <c r="Z34" i="49"/>
  <c r="N33" i="49"/>
  <c r="O6" i="49"/>
  <c r="P6" i="49" s="1"/>
  <c r="Q6" i="49" s="1"/>
  <c r="R6" i="49" s="1"/>
  <c r="S6" i="49" s="1"/>
  <c r="T6" i="49" s="1"/>
  <c r="U6" i="49" s="1"/>
  <c r="V6" i="49" s="1"/>
  <c r="W6" i="49" s="1"/>
  <c r="Z37" i="49"/>
  <c r="Y39" i="49"/>
  <c r="M34" i="49"/>
  <c r="M23" i="49"/>
  <c r="M12" i="49"/>
  <c r="N8" i="49"/>
  <c r="N7" i="49"/>
  <c r="AH38" i="49" l="1"/>
  <c r="AG80" i="49"/>
  <c r="N12" i="49"/>
  <c r="M54" i="49"/>
  <c r="AA37" i="49"/>
  <c r="Z79" i="49"/>
  <c r="AL35" i="49"/>
  <c r="AK77" i="49"/>
  <c r="AL26" i="49"/>
  <c r="AK68" i="49"/>
  <c r="Z23" i="49"/>
  <c r="Y65" i="49"/>
  <c r="AL32" i="49"/>
  <c r="AK74" i="49"/>
  <c r="AL36" i="49"/>
  <c r="AK78" i="49"/>
  <c r="Z7" i="49"/>
  <c r="Y49" i="49"/>
  <c r="AT38" i="49"/>
  <c r="AS80" i="49"/>
  <c r="Z33" i="49"/>
  <c r="Y75" i="49"/>
  <c r="N36" i="49"/>
  <c r="M78" i="49"/>
  <c r="AL39" i="49"/>
  <c r="AK81" i="49"/>
  <c r="N35" i="49"/>
  <c r="M77" i="49"/>
  <c r="AL37" i="49"/>
  <c r="AK79" i="49"/>
  <c r="AL12" i="49"/>
  <c r="AK54" i="49"/>
  <c r="N39" i="49"/>
  <c r="M81" i="49"/>
  <c r="O8" i="49"/>
  <c r="N50" i="49"/>
  <c r="N23" i="49"/>
  <c r="M65" i="49"/>
  <c r="AA34" i="49"/>
  <c r="Z76" i="49"/>
  <c r="N34" i="49"/>
  <c r="M76" i="49"/>
  <c r="Z32" i="49"/>
  <c r="Y74" i="49"/>
  <c r="O7" i="49"/>
  <c r="N49" i="49"/>
  <c r="Z39" i="49"/>
  <c r="Y81" i="49"/>
  <c r="O33" i="49"/>
  <c r="N75" i="49"/>
  <c r="V38" i="49"/>
  <c r="U80" i="49"/>
  <c r="N37" i="49"/>
  <c r="M79" i="49"/>
  <c r="AL7" i="49"/>
  <c r="AK49" i="49"/>
  <c r="Z35" i="49"/>
  <c r="Y77" i="49"/>
  <c r="AL23" i="49"/>
  <c r="AK65" i="49"/>
  <c r="AL8" i="49"/>
  <c r="AK50" i="49"/>
  <c r="N32" i="49"/>
  <c r="M74" i="49"/>
  <c r="AL34" i="49"/>
  <c r="AK76" i="49"/>
  <c r="Z12" i="49"/>
  <c r="Y54" i="49"/>
  <c r="AL33" i="49"/>
  <c r="AK75" i="49"/>
  <c r="Z36" i="49"/>
  <c r="Y78" i="49"/>
  <c r="N26" i="49"/>
  <c r="M68" i="49"/>
  <c r="Z8" i="49"/>
  <c r="Y50" i="49"/>
  <c r="Z26" i="49"/>
  <c r="Y68" i="49"/>
  <c r="I6" i="49"/>
  <c r="AB34" i="49" l="1"/>
  <c r="AA76" i="49"/>
  <c r="P8" i="49"/>
  <c r="O50" i="49"/>
  <c r="AM12" i="49"/>
  <c r="AL54" i="49"/>
  <c r="O35" i="49"/>
  <c r="N77" i="49"/>
  <c r="O36" i="49"/>
  <c r="N78" i="49"/>
  <c r="AA26" i="49"/>
  <c r="Z68" i="49"/>
  <c r="O26" i="49"/>
  <c r="N68" i="49"/>
  <c r="AM33" i="49"/>
  <c r="AL75" i="49"/>
  <c r="AM34" i="49"/>
  <c r="AL76" i="49"/>
  <c r="AM8" i="49"/>
  <c r="AL50" i="49"/>
  <c r="AA35" i="49"/>
  <c r="Z77" i="49"/>
  <c r="O37" i="49"/>
  <c r="N79" i="49"/>
  <c r="P33" i="49"/>
  <c r="O75" i="49"/>
  <c r="P7" i="49"/>
  <c r="O49" i="49"/>
  <c r="AU38" i="49"/>
  <c r="AT80" i="49"/>
  <c r="AM36" i="49"/>
  <c r="AL78" i="49"/>
  <c r="AA23" i="49"/>
  <c r="Z65" i="49"/>
  <c r="AM35" i="49"/>
  <c r="AL77" i="49"/>
  <c r="O12" i="49"/>
  <c r="N54" i="49"/>
  <c r="O34" i="49"/>
  <c r="N76" i="49"/>
  <c r="O23" i="49"/>
  <c r="N65" i="49"/>
  <c r="O39" i="49"/>
  <c r="N81" i="49"/>
  <c r="AM37" i="49"/>
  <c r="AL79" i="49"/>
  <c r="AM39" i="49"/>
  <c r="AL81" i="49"/>
  <c r="AA33" i="49"/>
  <c r="Z75" i="49"/>
  <c r="AA8" i="49"/>
  <c r="Z50" i="49"/>
  <c r="AA36" i="49"/>
  <c r="Z78" i="49"/>
  <c r="AA12" i="49"/>
  <c r="Z54" i="49"/>
  <c r="O32" i="49"/>
  <c r="N74" i="49"/>
  <c r="AM23" i="49"/>
  <c r="AL65" i="49"/>
  <c r="AM7" i="49"/>
  <c r="AL49" i="49"/>
  <c r="W38" i="49"/>
  <c r="W80" i="49" s="1"/>
  <c r="V80" i="49"/>
  <c r="AA39" i="49"/>
  <c r="Z81" i="49"/>
  <c r="AA32" i="49"/>
  <c r="Z74" i="49"/>
  <c r="AA7" i="49"/>
  <c r="Z49" i="49"/>
  <c r="AM32" i="49"/>
  <c r="AL74" i="49"/>
  <c r="AM26" i="49"/>
  <c r="AL68" i="49"/>
  <c r="AB37" i="49"/>
  <c r="AA79" i="49"/>
  <c r="AI38" i="49"/>
  <c r="AI80" i="49" s="1"/>
  <c r="AH80" i="49"/>
  <c r="B28" i="51"/>
  <c r="P35" i="49" l="1"/>
  <c r="O77" i="49"/>
  <c r="AC37" i="49"/>
  <c r="AB79" i="49"/>
  <c r="AB7" i="49"/>
  <c r="AA49" i="49"/>
  <c r="AB39" i="49"/>
  <c r="AA81" i="49"/>
  <c r="P32" i="49"/>
  <c r="O74" i="49"/>
  <c r="AB8" i="49"/>
  <c r="AA50" i="49"/>
  <c r="P39" i="49"/>
  <c r="O81" i="49"/>
  <c r="P34" i="49"/>
  <c r="O76" i="49"/>
  <c r="AN36" i="49"/>
  <c r="AM78" i="49"/>
  <c r="Q7" i="49"/>
  <c r="P49" i="49"/>
  <c r="AB35" i="49"/>
  <c r="AA77" i="49"/>
  <c r="AN33" i="49"/>
  <c r="AM75" i="49"/>
  <c r="AB26" i="49"/>
  <c r="AA68" i="49"/>
  <c r="P36" i="49"/>
  <c r="O78" i="49"/>
  <c r="Q8" i="49"/>
  <c r="P50" i="49"/>
  <c r="AB12" i="49"/>
  <c r="AA54" i="49"/>
  <c r="AB33" i="49"/>
  <c r="AA75" i="49"/>
  <c r="AN32" i="49"/>
  <c r="AM74" i="49"/>
  <c r="I38" i="49"/>
  <c r="AN23" i="49"/>
  <c r="AM65" i="49"/>
  <c r="AN37" i="49"/>
  <c r="AM79" i="49"/>
  <c r="AB23" i="49"/>
  <c r="AA65" i="49"/>
  <c r="P37" i="49"/>
  <c r="O79" i="49"/>
  <c r="AN34" i="49"/>
  <c r="AM76" i="49"/>
  <c r="P12" i="49"/>
  <c r="O54" i="49"/>
  <c r="AN26" i="49"/>
  <c r="AM68" i="49"/>
  <c r="AB32" i="49"/>
  <c r="AA74" i="49"/>
  <c r="AN7" i="49"/>
  <c r="AM49" i="49"/>
  <c r="AB36" i="49"/>
  <c r="AA78" i="49"/>
  <c r="AN39" i="49"/>
  <c r="AM81" i="49"/>
  <c r="P23" i="49"/>
  <c r="O65" i="49"/>
  <c r="AN35" i="49"/>
  <c r="AM77" i="49"/>
  <c r="AU80" i="49"/>
  <c r="K38" i="49"/>
  <c r="J38" i="49"/>
  <c r="Q33" i="49"/>
  <c r="P75" i="49"/>
  <c r="AN8" i="49"/>
  <c r="AM50" i="49"/>
  <c r="P26" i="49"/>
  <c r="O68" i="49"/>
  <c r="AN12" i="49"/>
  <c r="AM54" i="49"/>
  <c r="AC34" i="49"/>
  <c r="AB76" i="49"/>
  <c r="AO12" i="49" l="1"/>
  <c r="AN54" i="49"/>
  <c r="Q23" i="49"/>
  <c r="P65" i="49"/>
  <c r="AC36" i="49"/>
  <c r="AB78" i="49"/>
  <c r="AO35" i="49"/>
  <c r="AN77" i="49"/>
  <c r="AC32" i="49"/>
  <c r="AB74" i="49"/>
  <c r="AO34" i="49"/>
  <c r="AN76" i="49"/>
  <c r="AC23" i="49"/>
  <c r="AB65" i="49"/>
  <c r="AD34" i="49"/>
  <c r="AC76" i="49"/>
  <c r="AO39" i="49"/>
  <c r="AN81" i="49"/>
  <c r="AO7" i="49"/>
  <c r="AN49" i="49"/>
  <c r="Q12" i="49"/>
  <c r="P54" i="49"/>
  <c r="AO32" i="49"/>
  <c r="AN74" i="49"/>
  <c r="AC12" i="49"/>
  <c r="AB54" i="49"/>
  <c r="AO36" i="49"/>
  <c r="AN78" i="49"/>
  <c r="AC39" i="49"/>
  <c r="AB81" i="49"/>
  <c r="Q26" i="49"/>
  <c r="P68" i="49"/>
  <c r="AO26" i="49"/>
  <c r="AN68" i="49"/>
  <c r="Q37" i="49"/>
  <c r="P79" i="49"/>
  <c r="AO37" i="49"/>
  <c r="AN79" i="49"/>
  <c r="AO23" i="49"/>
  <c r="AN65" i="49"/>
  <c r="Q36" i="49"/>
  <c r="P78" i="49"/>
  <c r="AO33" i="49"/>
  <c r="AN75" i="49"/>
  <c r="Q39" i="49"/>
  <c r="P81" i="49"/>
  <c r="Q32" i="49"/>
  <c r="P74" i="49"/>
  <c r="AD37" i="49"/>
  <c r="AC79" i="49"/>
  <c r="R33" i="49"/>
  <c r="Q75" i="49"/>
  <c r="AC33" i="49"/>
  <c r="AB75" i="49"/>
  <c r="R7" i="49"/>
  <c r="Q49" i="49"/>
  <c r="AC7" i="49"/>
  <c r="AB49" i="49"/>
  <c r="AO8" i="49"/>
  <c r="AN50" i="49"/>
  <c r="R8" i="49"/>
  <c r="Q50" i="49"/>
  <c r="AC26" i="49"/>
  <c r="AB68" i="49"/>
  <c r="AC35" i="49"/>
  <c r="AB77" i="49"/>
  <c r="Q34" i="49"/>
  <c r="P76" i="49"/>
  <c r="AC8" i="49"/>
  <c r="AB50" i="49"/>
  <c r="Q35" i="49"/>
  <c r="P77" i="49"/>
  <c r="M5" i="52"/>
  <c r="I24" i="47"/>
  <c r="AD8" i="49" l="1"/>
  <c r="AC50" i="49"/>
  <c r="AP8" i="49"/>
  <c r="AO50" i="49"/>
  <c r="AD35" i="49"/>
  <c r="AC77" i="49"/>
  <c r="R35" i="49"/>
  <c r="Q77" i="49"/>
  <c r="R34" i="49"/>
  <c r="Q76" i="49"/>
  <c r="S8" i="49"/>
  <c r="R50" i="49"/>
  <c r="S7" i="49"/>
  <c r="R49" i="49"/>
  <c r="S33" i="49"/>
  <c r="R75" i="49"/>
  <c r="AP33" i="49"/>
  <c r="AO75" i="49"/>
  <c r="AP37" i="49"/>
  <c r="AO79" i="49"/>
  <c r="R26" i="49"/>
  <c r="Q68" i="49"/>
  <c r="AD12" i="49"/>
  <c r="AC54" i="49"/>
  <c r="AD23" i="49"/>
  <c r="AC65" i="49"/>
  <c r="AD26" i="49"/>
  <c r="AC68" i="49"/>
  <c r="R39" i="49"/>
  <c r="Q81" i="49"/>
  <c r="AP23" i="49"/>
  <c r="AO65" i="49"/>
  <c r="AP26" i="49"/>
  <c r="AO68" i="49"/>
  <c r="R12" i="49"/>
  <c r="Q54" i="49"/>
  <c r="AP39" i="49"/>
  <c r="AO81" i="49"/>
  <c r="AE34" i="49"/>
  <c r="AD76" i="49"/>
  <c r="AD32" i="49"/>
  <c r="AC74" i="49"/>
  <c r="AD36" i="49"/>
  <c r="AC78" i="49"/>
  <c r="AD7" i="49"/>
  <c r="AC49" i="49"/>
  <c r="AD33" i="49"/>
  <c r="AC75" i="49"/>
  <c r="R32" i="49"/>
  <c r="Q74" i="49"/>
  <c r="R36" i="49"/>
  <c r="Q78" i="49"/>
  <c r="AP36" i="49"/>
  <c r="AO78" i="49"/>
  <c r="AP12" i="49"/>
  <c r="AO54" i="49"/>
  <c r="AE37" i="49"/>
  <c r="AD79" i="49"/>
  <c r="R37" i="49"/>
  <c r="Q79" i="49"/>
  <c r="AD39" i="49"/>
  <c r="AC81" i="49"/>
  <c r="AP32" i="49"/>
  <c r="AO74" i="49"/>
  <c r="AP7" i="49"/>
  <c r="AO49" i="49"/>
  <c r="AP34" i="49"/>
  <c r="AO76" i="49"/>
  <c r="AP35" i="49"/>
  <c r="AO77" i="49"/>
  <c r="R23" i="49"/>
  <c r="Q65" i="49"/>
  <c r="L13" i="49"/>
  <c r="X13" i="49"/>
  <c r="AJ13" i="49"/>
  <c r="S36" i="49" l="1"/>
  <c r="R78" i="49"/>
  <c r="AQ7" i="49"/>
  <c r="AP49" i="49"/>
  <c r="AQ26" i="49"/>
  <c r="AP68" i="49"/>
  <c r="S39" i="49"/>
  <c r="R81" i="49"/>
  <c r="S34" i="49"/>
  <c r="R76" i="49"/>
  <c r="AE35" i="49"/>
  <c r="AD77" i="49"/>
  <c r="AE8" i="49"/>
  <c r="AD50" i="49"/>
  <c r="AQ35" i="49"/>
  <c r="AP77" i="49"/>
  <c r="AE32" i="49"/>
  <c r="AD74" i="49"/>
  <c r="AQ39" i="49"/>
  <c r="AP81" i="49"/>
  <c r="S26" i="49"/>
  <c r="R68" i="49"/>
  <c r="AQ33" i="49"/>
  <c r="AP75" i="49"/>
  <c r="T7" i="49"/>
  <c r="S49" i="49"/>
  <c r="AQ36" i="49"/>
  <c r="AP78" i="49"/>
  <c r="AE33" i="49"/>
  <c r="AD75" i="49"/>
  <c r="S23" i="49"/>
  <c r="R65" i="49"/>
  <c r="AQ34" i="49"/>
  <c r="AP76" i="49"/>
  <c r="AE39" i="49"/>
  <c r="AD81" i="49"/>
  <c r="AQ12" i="49"/>
  <c r="AP54" i="49"/>
  <c r="S32" i="49"/>
  <c r="R74" i="49"/>
  <c r="AE36" i="49"/>
  <c r="AD78" i="49"/>
  <c r="AF34" i="49"/>
  <c r="AE76" i="49"/>
  <c r="AE12" i="49"/>
  <c r="AD54" i="49"/>
  <c r="AQ37" i="49"/>
  <c r="AP79" i="49"/>
  <c r="T33" i="49"/>
  <c r="S75" i="49"/>
  <c r="S37" i="49"/>
  <c r="R79" i="49"/>
  <c r="AQ32" i="49"/>
  <c r="AP74" i="49"/>
  <c r="AF37" i="49"/>
  <c r="AE79" i="49"/>
  <c r="AE7" i="49"/>
  <c r="AD49" i="49"/>
  <c r="S12" i="49"/>
  <c r="R54" i="49"/>
  <c r="AQ23" i="49"/>
  <c r="AP65" i="49"/>
  <c r="AE26" i="49"/>
  <c r="AD68" i="49"/>
  <c r="AE23" i="49"/>
  <c r="AD65" i="49"/>
  <c r="T8" i="49"/>
  <c r="S50" i="49"/>
  <c r="S35" i="49"/>
  <c r="R77" i="49"/>
  <c r="AQ8" i="49"/>
  <c r="AP50" i="49"/>
  <c r="AK13" i="49"/>
  <c r="AJ55" i="49"/>
  <c r="Y13" i="49"/>
  <c r="X55" i="49"/>
  <c r="M13" i="49"/>
  <c r="L55" i="49"/>
  <c r="L5" i="49"/>
  <c r="L47" i="49" s="1"/>
  <c r="U8" i="49" l="1"/>
  <c r="T50" i="49"/>
  <c r="AF39" i="49"/>
  <c r="AE81" i="49"/>
  <c r="U7" i="49"/>
  <c r="T49" i="49"/>
  <c r="AR39" i="49"/>
  <c r="AQ81" i="49"/>
  <c r="T36" i="49"/>
  <c r="S78" i="49"/>
  <c r="T35" i="49"/>
  <c r="S77" i="49"/>
  <c r="T12" i="49"/>
  <c r="S54" i="49"/>
  <c r="U33" i="49"/>
  <c r="T75" i="49"/>
  <c r="AG34" i="49"/>
  <c r="AF76" i="49"/>
  <c r="T23" i="49"/>
  <c r="S65" i="49"/>
  <c r="T26" i="49"/>
  <c r="S68" i="49"/>
  <c r="AR35" i="49"/>
  <c r="AQ77" i="49"/>
  <c r="AF35" i="49"/>
  <c r="AE77" i="49"/>
  <c r="AR32" i="49"/>
  <c r="AQ74" i="49"/>
  <c r="AR37" i="49"/>
  <c r="AQ79" i="49"/>
  <c r="AF36" i="49"/>
  <c r="AE78" i="49"/>
  <c r="AF23" i="49"/>
  <c r="AE65" i="49"/>
  <c r="AG37" i="49"/>
  <c r="AF79" i="49"/>
  <c r="T37" i="49"/>
  <c r="S79" i="49"/>
  <c r="AF12" i="49"/>
  <c r="AE54" i="49"/>
  <c r="T32" i="49"/>
  <c r="S74" i="49"/>
  <c r="AR12" i="49"/>
  <c r="AQ54" i="49"/>
  <c r="AR34" i="49"/>
  <c r="AQ76" i="49"/>
  <c r="AR36" i="49"/>
  <c r="AQ78" i="49"/>
  <c r="T39" i="49"/>
  <c r="S81" i="49"/>
  <c r="AR7" i="49"/>
  <c r="AQ49" i="49"/>
  <c r="AF26" i="49"/>
  <c r="AE68" i="49"/>
  <c r="AR26" i="49"/>
  <c r="AQ68" i="49"/>
  <c r="AR8" i="49"/>
  <c r="AQ50" i="49"/>
  <c r="AR23" i="49"/>
  <c r="AQ65" i="49"/>
  <c r="AF7" i="49"/>
  <c r="AE49" i="49"/>
  <c r="AF33" i="49"/>
  <c r="AE75" i="49"/>
  <c r="AR33" i="49"/>
  <c r="AQ75" i="49"/>
  <c r="AF32" i="49"/>
  <c r="AE74" i="49"/>
  <c r="AF8" i="49"/>
  <c r="AE50" i="49"/>
  <c r="T34" i="49"/>
  <c r="S76" i="49"/>
  <c r="N13" i="49"/>
  <c r="M55" i="49"/>
  <c r="Z13" i="49"/>
  <c r="Y55" i="49"/>
  <c r="AL13" i="49"/>
  <c r="AK55" i="49"/>
  <c r="X24" i="49"/>
  <c r="X66" i="49" s="1"/>
  <c r="AJ24" i="49"/>
  <c r="AJ66" i="49" s="1"/>
  <c r="X25" i="49"/>
  <c r="X67" i="49" s="1"/>
  <c r="AJ25" i="49"/>
  <c r="X27" i="49"/>
  <c r="AJ27" i="49"/>
  <c r="AJ69" i="49" s="1"/>
  <c r="X28" i="49"/>
  <c r="AJ28" i="49"/>
  <c r="X29" i="49"/>
  <c r="AJ29" i="49"/>
  <c r="X30" i="49"/>
  <c r="AJ30" i="49"/>
  <c r="X31" i="49"/>
  <c r="AJ31" i="49"/>
  <c r="L24" i="49"/>
  <c r="L66" i="49" s="1"/>
  <c r="L25" i="49"/>
  <c r="L27" i="49"/>
  <c r="L28" i="49"/>
  <c r="L29" i="49"/>
  <c r="L30" i="49"/>
  <c r="L31" i="49"/>
  <c r="L22" i="49"/>
  <c r="X22" i="49"/>
  <c r="AJ22" i="49"/>
  <c r="L21" i="49"/>
  <c r="X21" i="49"/>
  <c r="AJ21" i="49"/>
  <c r="M21" i="49" l="1"/>
  <c r="L63" i="49"/>
  <c r="M31" i="49"/>
  <c r="L73" i="49"/>
  <c r="M27" i="49"/>
  <c r="L69" i="49"/>
  <c r="Y31" i="49"/>
  <c r="X73" i="49"/>
  <c r="Y29" i="49"/>
  <c r="X71" i="49"/>
  <c r="Y27" i="49"/>
  <c r="X69" i="49"/>
  <c r="AS23" i="49"/>
  <c r="AR65" i="49"/>
  <c r="AS26" i="49"/>
  <c r="AR68" i="49"/>
  <c r="AH37" i="49"/>
  <c r="AG79" i="49"/>
  <c r="AS37" i="49"/>
  <c r="AR79" i="49"/>
  <c r="AS35" i="49"/>
  <c r="AR77" i="49"/>
  <c r="U23" i="49"/>
  <c r="T65" i="49"/>
  <c r="U12" i="49"/>
  <c r="T54" i="49"/>
  <c r="U36" i="49"/>
  <c r="T78" i="49"/>
  <c r="V7" i="49"/>
  <c r="U49" i="49"/>
  <c r="AK22" i="49"/>
  <c r="AJ64" i="49"/>
  <c r="M30" i="49"/>
  <c r="L72" i="49"/>
  <c r="M25" i="49"/>
  <c r="L67" i="49"/>
  <c r="AK30" i="49"/>
  <c r="AJ72" i="49"/>
  <c r="AK28" i="49"/>
  <c r="AJ70" i="49"/>
  <c r="AK25" i="49"/>
  <c r="AJ67" i="49"/>
  <c r="AS7" i="49"/>
  <c r="AR49" i="49"/>
  <c r="AS36" i="49"/>
  <c r="AR78" i="49"/>
  <c r="AS12" i="49"/>
  <c r="AR54" i="49"/>
  <c r="U37" i="49"/>
  <c r="T79" i="49"/>
  <c r="V33" i="49"/>
  <c r="U75" i="49"/>
  <c r="Y21" i="49"/>
  <c r="X63" i="49"/>
  <c r="M22" i="49"/>
  <c r="L64" i="49"/>
  <c r="M28" i="49"/>
  <c r="L70" i="49"/>
  <c r="AK31" i="49"/>
  <c r="AJ73" i="49"/>
  <c r="AK29" i="49"/>
  <c r="AJ71" i="49"/>
  <c r="AG8" i="49"/>
  <c r="AF50" i="49"/>
  <c r="AS33" i="49"/>
  <c r="AR75" i="49"/>
  <c r="AK21" i="49"/>
  <c r="AJ63" i="49"/>
  <c r="Y22" i="49"/>
  <c r="X64" i="49"/>
  <c r="M29" i="49"/>
  <c r="L71" i="49"/>
  <c r="Y30" i="49"/>
  <c r="X72" i="49"/>
  <c r="Y28" i="49"/>
  <c r="X70" i="49"/>
  <c r="U34" i="49"/>
  <c r="T76" i="49"/>
  <c r="AG32" i="49"/>
  <c r="AF74" i="49"/>
  <c r="AG33" i="49"/>
  <c r="AF75" i="49"/>
  <c r="AG7" i="49"/>
  <c r="AF49" i="49"/>
  <c r="AS8" i="49"/>
  <c r="AR50" i="49"/>
  <c r="AG26" i="49"/>
  <c r="AF68" i="49"/>
  <c r="AG12" i="49"/>
  <c r="AF54" i="49"/>
  <c r="AG36" i="49"/>
  <c r="AF78" i="49"/>
  <c r="AG35" i="49"/>
  <c r="AF77" i="49"/>
  <c r="U26" i="49"/>
  <c r="T68" i="49"/>
  <c r="AH34" i="49"/>
  <c r="AG76" i="49"/>
  <c r="U35" i="49"/>
  <c r="T77" i="49"/>
  <c r="AS39" i="49"/>
  <c r="AR81" i="49"/>
  <c r="V8" i="49"/>
  <c r="U50" i="49"/>
  <c r="U39" i="49"/>
  <c r="T81" i="49"/>
  <c r="AS34" i="49"/>
  <c r="AR76" i="49"/>
  <c r="U32" i="49"/>
  <c r="T74" i="49"/>
  <c r="AG23" i="49"/>
  <c r="AF65" i="49"/>
  <c r="AS32" i="49"/>
  <c r="AR74" i="49"/>
  <c r="AG39" i="49"/>
  <c r="AF81" i="49"/>
  <c r="AM13" i="49"/>
  <c r="AL55" i="49"/>
  <c r="O13" i="49"/>
  <c r="N55" i="49"/>
  <c r="AA13" i="49"/>
  <c r="Z55" i="49"/>
  <c r="Y24" i="49"/>
  <c r="Y66" i="49" s="1"/>
  <c r="AK24" i="49"/>
  <c r="AK66" i="49" s="1"/>
  <c r="M24" i="49"/>
  <c r="M66" i="49" s="1"/>
  <c r="AK27" i="49"/>
  <c r="Y25" i="49"/>
  <c r="L16" i="49"/>
  <c r="X16" i="49"/>
  <c r="AJ16" i="49"/>
  <c r="L17" i="49"/>
  <c r="X17" i="49"/>
  <c r="AJ17" i="49"/>
  <c r="AJ59" i="49" s="1"/>
  <c r="L18" i="49"/>
  <c r="X18" i="49"/>
  <c r="AJ18" i="49"/>
  <c r="L19" i="49"/>
  <c r="X19" i="49"/>
  <c r="AJ19" i="49"/>
  <c r="L20" i="49"/>
  <c r="L62" i="49" s="1"/>
  <c r="X20" i="49"/>
  <c r="AJ20" i="49"/>
  <c r="AL27" i="49" l="1"/>
  <c r="AK69" i="49"/>
  <c r="N22" i="49"/>
  <c r="M64" i="49"/>
  <c r="AL25" i="49"/>
  <c r="AK67" i="49"/>
  <c r="AT32" i="49"/>
  <c r="AS74" i="49"/>
  <c r="V32" i="49"/>
  <c r="U74" i="49"/>
  <c r="V26" i="49"/>
  <c r="U68" i="49"/>
  <c r="AH36" i="49"/>
  <c r="AG78" i="49"/>
  <c r="AH26" i="49"/>
  <c r="AG68" i="49"/>
  <c r="AH7" i="49"/>
  <c r="AG49" i="49"/>
  <c r="V34" i="49"/>
  <c r="U76" i="49"/>
  <c r="Z30" i="49"/>
  <c r="Y72" i="49"/>
  <c r="Z22" i="49"/>
  <c r="Y64" i="49"/>
  <c r="AT12" i="49"/>
  <c r="AS54" i="49"/>
  <c r="AK18" i="49"/>
  <c r="AK60" i="49" s="1"/>
  <c r="AJ60" i="49"/>
  <c r="Y17" i="49"/>
  <c r="X59" i="49"/>
  <c r="M16" i="49"/>
  <c r="L58" i="49"/>
  <c r="V35" i="49"/>
  <c r="U77" i="49"/>
  <c r="AL31" i="49"/>
  <c r="AK73" i="49"/>
  <c r="W33" i="49"/>
  <c r="W75" i="49" s="1"/>
  <c r="V75" i="49"/>
  <c r="AT36" i="49"/>
  <c r="AS78" i="49"/>
  <c r="N30" i="49"/>
  <c r="M72" i="49"/>
  <c r="W7" i="49"/>
  <c r="W49" i="49" s="1"/>
  <c r="V49" i="49"/>
  <c r="AT35" i="49"/>
  <c r="AS77" i="49"/>
  <c r="N21" i="49"/>
  <c r="M63" i="49"/>
  <c r="Y18" i="49"/>
  <c r="X60" i="49"/>
  <c r="AT39" i="49"/>
  <c r="AS81" i="49"/>
  <c r="AT33" i="49"/>
  <c r="AS75" i="49"/>
  <c r="AL29" i="49"/>
  <c r="AK71" i="49"/>
  <c r="N28" i="49"/>
  <c r="M70" i="49"/>
  <c r="Z21" i="49"/>
  <c r="Y63" i="49"/>
  <c r="V37" i="49"/>
  <c r="U79" i="49"/>
  <c r="AT7" i="49"/>
  <c r="AS49" i="49"/>
  <c r="AL28" i="49"/>
  <c r="AK70" i="49"/>
  <c r="N25" i="49"/>
  <c r="M67" i="49"/>
  <c r="AL22" i="49"/>
  <c r="AK64" i="49"/>
  <c r="V36" i="49"/>
  <c r="U78" i="49"/>
  <c r="V23" i="49"/>
  <c r="U65" i="49"/>
  <c r="AT37" i="49"/>
  <c r="AS79" i="49"/>
  <c r="AT26" i="49"/>
  <c r="AS68" i="49"/>
  <c r="Z27" i="49"/>
  <c r="Y69" i="49"/>
  <c r="Z31" i="49"/>
  <c r="Y73" i="49"/>
  <c r="N31" i="49"/>
  <c r="M73" i="49"/>
  <c r="W8" i="49"/>
  <c r="W50" i="49" s="1"/>
  <c r="V50" i="49"/>
  <c r="AH33" i="49"/>
  <c r="AG75" i="49"/>
  <c r="AH8" i="49"/>
  <c r="AG50" i="49"/>
  <c r="AL30" i="49"/>
  <c r="AK72" i="49"/>
  <c r="V12" i="49"/>
  <c r="U54" i="49"/>
  <c r="AI37" i="49"/>
  <c r="AI79" i="49" s="1"/>
  <c r="AH79" i="49"/>
  <c r="J37" i="49"/>
  <c r="AT23" i="49"/>
  <c r="AS65" i="49"/>
  <c r="Z29" i="49"/>
  <c r="Y71" i="49"/>
  <c r="N27" i="49"/>
  <c r="M69" i="49"/>
  <c r="AK19" i="49"/>
  <c r="AJ61" i="49"/>
  <c r="M17" i="49"/>
  <c r="L59" i="49"/>
  <c r="AK20" i="49"/>
  <c r="AJ62" i="49"/>
  <c r="Y19" i="49"/>
  <c r="X61" i="49"/>
  <c r="M18" i="49"/>
  <c r="L60" i="49"/>
  <c r="AK16" i="49"/>
  <c r="AJ58" i="49"/>
  <c r="V39" i="49"/>
  <c r="U81" i="49"/>
  <c r="Y20" i="49"/>
  <c r="Y62" i="49" s="1"/>
  <c r="X62" i="49"/>
  <c r="M19" i="49"/>
  <c r="L61" i="49"/>
  <c r="Y16" i="49"/>
  <c r="X58" i="49"/>
  <c r="Z25" i="49"/>
  <c r="Y67" i="49"/>
  <c r="AH39" i="49"/>
  <c r="AG81" i="49"/>
  <c r="AH23" i="49"/>
  <c r="AG65" i="49"/>
  <c r="AT34" i="49"/>
  <c r="AS76" i="49"/>
  <c r="AI34" i="49"/>
  <c r="AH76" i="49"/>
  <c r="AH35" i="49"/>
  <c r="AG77" i="49"/>
  <c r="AH12" i="49"/>
  <c r="AG54" i="49"/>
  <c r="AT8" i="49"/>
  <c r="AS50" i="49"/>
  <c r="AH32" i="49"/>
  <c r="AG74" i="49"/>
  <c r="Z28" i="49"/>
  <c r="Y70" i="49"/>
  <c r="N29" i="49"/>
  <c r="M71" i="49"/>
  <c r="AL21" i="49"/>
  <c r="AK63" i="49"/>
  <c r="AB13" i="49"/>
  <c r="AA55" i="49"/>
  <c r="P13" i="49"/>
  <c r="O55" i="49"/>
  <c r="AN13" i="49"/>
  <c r="AM55" i="49"/>
  <c r="N24" i="49"/>
  <c r="N66" i="49" s="1"/>
  <c r="AL24" i="49"/>
  <c r="AL66" i="49" s="1"/>
  <c r="Z24" i="49"/>
  <c r="Z66" i="49" s="1"/>
  <c r="M20" i="49"/>
  <c r="Z20" i="49"/>
  <c r="AL18" i="49"/>
  <c r="AK17" i="49"/>
  <c r="O29" i="49" l="1"/>
  <c r="N71" i="49"/>
  <c r="AI32" i="49"/>
  <c r="AI74" i="49" s="1"/>
  <c r="AH74" i="49"/>
  <c r="N17" i="49"/>
  <c r="M59" i="49"/>
  <c r="O27" i="49"/>
  <c r="N69" i="49"/>
  <c r="AU23" i="49"/>
  <c r="AT65" i="49"/>
  <c r="AM30" i="49"/>
  <c r="AL72" i="49"/>
  <c r="AU26" i="49"/>
  <c r="AU68" i="49" s="1"/>
  <c r="AT68" i="49"/>
  <c r="W36" i="49"/>
  <c r="W78" i="49" s="1"/>
  <c r="V78" i="49"/>
  <c r="AU7" i="49"/>
  <c r="AT49" i="49"/>
  <c r="AM18" i="49"/>
  <c r="AL60" i="49"/>
  <c r="AA20" i="49"/>
  <c r="Z62" i="49"/>
  <c r="AI12" i="49"/>
  <c r="AI54" i="49" s="1"/>
  <c r="AH54" i="49"/>
  <c r="AI76" i="49"/>
  <c r="J34" i="49"/>
  <c r="AI23" i="49"/>
  <c r="AI65" i="49" s="1"/>
  <c r="AH65" i="49"/>
  <c r="AA25" i="49"/>
  <c r="Z67" i="49"/>
  <c r="N19" i="49"/>
  <c r="M61" i="49"/>
  <c r="W39" i="49"/>
  <c r="W81" i="49" s="1"/>
  <c r="V81" i="49"/>
  <c r="N18" i="49"/>
  <c r="M60" i="49"/>
  <c r="AL20" i="49"/>
  <c r="AK62" i="49"/>
  <c r="Z63" i="49"/>
  <c r="AA21" i="49"/>
  <c r="AM29" i="49"/>
  <c r="AL71" i="49"/>
  <c r="AU39" i="49"/>
  <c r="AT81" i="49"/>
  <c r="N63" i="49"/>
  <c r="O21" i="49"/>
  <c r="AU36" i="49"/>
  <c r="AT78" i="49"/>
  <c r="AM31" i="49"/>
  <c r="AL73" i="49"/>
  <c r="N16" i="49"/>
  <c r="M58" i="49"/>
  <c r="AA22" i="49"/>
  <c r="Z64" i="49"/>
  <c r="W34" i="49"/>
  <c r="W76" i="49" s="1"/>
  <c r="V76" i="49"/>
  <c r="AI26" i="49"/>
  <c r="AH68" i="49"/>
  <c r="W26" i="49"/>
  <c r="W68" i="49" s="1"/>
  <c r="V68" i="49"/>
  <c r="AU32" i="49"/>
  <c r="AT74" i="49"/>
  <c r="O22" i="49"/>
  <c r="N64" i="49"/>
  <c r="AI33" i="49"/>
  <c r="AI75" i="49" s="1"/>
  <c r="AH75" i="49"/>
  <c r="AA31" i="49"/>
  <c r="Z73" i="49"/>
  <c r="K26" i="49"/>
  <c r="AL63" i="49"/>
  <c r="AM21" i="49"/>
  <c r="AA28" i="49"/>
  <c r="Z70" i="49"/>
  <c r="AU8" i="49"/>
  <c r="AT50" i="49"/>
  <c r="AL19" i="49"/>
  <c r="AK61" i="49"/>
  <c r="AA29" i="49"/>
  <c r="Z71" i="49"/>
  <c r="W12" i="49"/>
  <c r="V54" i="49"/>
  <c r="AI8" i="49"/>
  <c r="AI50" i="49" s="1"/>
  <c r="AH50" i="49"/>
  <c r="O31" i="49"/>
  <c r="N73" i="49"/>
  <c r="AA27" i="49"/>
  <c r="Z69" i="49"/>
  <c r="W23" i="49"/>
  <c r="W65" i="49" s="1"/>
  <c r="V65" i="49"/>
  <c r="AM22" i="49"/>
  <c r="AL64" i="49"/>
  <c r="AM28" i="49"/>
  <c r="AL70" i="49"/>
  <c r="O25" i="49"/>
  <c r="N67" i="49"/>
  <c r="AL17" i="49"/>
  <c r="AK59" i="49"/>
  <c r="N20" i="49"/>
  <c r="M62" i="49"/>
  <c r="AI35" i="49"/>
  <c r="AI77" i="49" s="1"/>
  <c r="AH77" i="49"/>
  <c r="AU34" i="49"/>
  <c r="AT76" i="49"/>
  <c r="AI39" i="49"/>
  <c r="AI81" i="49" s="1"/>
  <c r="AH81" i="49"/>
  <c r="Z16" i="49"/>
  <c r="Y58" i="49"/>
  <c r="AL16" i="49"/>
  <c r="AK58" i="49"/>
  <c r="Z19" i="49"/>
  <c r="Y61" i="49"/>
  <c r="AU37" i="49"/>
  <c r="AT79" i="49"/>
  <c r="W37" i="49"/>
  <c r="W79" i="49" s="1"/>
  <c r="V79" i="49"/>
  <c r="O28" i="49"/>
  <c r="N70" i="49"/>
  <c r="AU33" i="49"/>
  <c r="K33" i="49" s="1"/>
  <c r="AT75" i="49"/>
  <c r="Z18" i="49"/>
  <c r="Y60" i="49"/>
  <c r="AU35" i="49"/>
  <c r="AT77" i="49"/>
  <c r="O30" i="49"/>
  <c r="N72" i="49"/>
  <c r="W35" i="49"/>
  <c r="W77" i="49" s="1"/>
  <c r="V77" i="49"/>
  <c r="Z17" i="49"/>
  <c r="Y59" i="49"/>
  <c r="AU12" i="49"/>
  <c r="AT54" i="49"/>
  <c r="K12" i="49"/>
  <c r="AA30" i="49"/>
  <c r="Z72" i="49"/>
  <c r="AI7" i="49"/>
  <c r="AI49" i="49" s="1"/>
  <c r="AH49" i="49"/>
  <c r="AI36" i="49"/>
  <c r="AI78" i="49" s="1"/>
  <c r="AH78" i="49"/>
  <c r="W32" i="49"/>
  <c r="W74" i="49" s="1"/>
  <c r="V74" i="49"/>
  <c r="AM25" i="49"/>
  <c r="AL67" i="49"/>
  <c r="AM27" i="49"/>
  <c r="AL69" i="49"/>
  <c r="AO13" i="49"/>
  <c r="AN55" i="49"/>
  <c r="Q13" i="49"/>
  <c r="P55" i="49"/>
  <c r="AC13" i="49"/>
  <c r="AB55" i="49"/>
  <c r="AA24" i="49"/>
  <c r="AA66" i="49" s="1"/>
  <c r="AM24" i="49"/>
  <c r="AM66" i="49" s="1"/>
  <c r="O24" i="49"/>
  <c r="O66" i="49" s="1"/>
  <c r="R10" i="49"/>
  <c r="R52" i="49" s="1"/>
  <c r="Z10" i="49"/>
  <c r="Z52" i="49" s="1"/>
  <c r="AH10" i="49"/>
  <c r="AH52" i="49" s="1"/>
  <c r="AH15" i="49"/>
  <c r="AH57" i="49" s="1"/>
  <c r="W9" i="49"/>
  <c r="W51" i="49" s="1"/>
  <c r="R15" i="49"/>
  <c r="R57" i="49" s="1"/>
  <c r="Z15" i="49"/>
  <c r="Z57" i="49" s="1"/>
  <c r="AN27" i="49" l="1"/>
  <c r="AM69" i="49"/>
  <c r="AA17" i="49"/>
  <c r="Z59" i="49"/>
  <c r="P30" i="49"/>
  <c r="O72" i="49"/>
  <c r="AA18" i="49"/>
  <c r="Z60" i="49"/>
  <c r="Z61" i="49"/>
  <c r="AA19" i="49"/>
  <c r="AA16" i="49"/>
  <c r="Z58" i="49"/>
  <c r="AU76" i="49"/>
  <c r="K34" i="49"/>
  <c r="I34" i="49"/>
  <c r="AN28" i="49"/>
  <c r="AM70" i="49"/>
  <c r="AU74" i="49"/>
  <c r="I32" i="49"/>
  <c r="K32" i="49"/>
  <c r="J32" i="49"/>
  <c r="O16" i="49"/>
  <c r="N58" i="49"/>
  <c r="AU78" i="49"/>
  <c r="J36" i="49"/>
  <c r="I36" i="49"/>
  <c r="K36" i="49"/>
  <c r="AU81" i="49"/>
  <c r="K39" i="49"/>
  <c r="J39" i="49"/>
  <c r="O18" i="49"/>
  <c r="N60" i="49"/>
  <c r="O20" i="49"/>
  <c r="N62" i="49"/>
  <c r="P31" i="49"/>
  <c r="O73" i="49"/>
  <c r="W54" i="49"/>
  <c r="I12" i="49"/>
  <c r="AM19" i="49"/>
  <c r="AL61" i="49"/>
  <c r="AA70" i="49"/>
  <c r="AB28" i="49"/>
  <c r="AB31" i="49"/>
  <c r="AA73" i="49"/>
  <c r="I26" i="49"/>
  <c r="AI68" i="49"/>
  <c r="J26" i="49"/>
  <c r="P21" i="49"/>
  <c r="O63" i="49"/>
  <c r="I39" i="49"/>
  <c r="O19" i="49"/>
  <c r="N61" i="49"/>
  <c r="AN18" i="49"/>
  <c r="AM60" i="49"/>
  <c r="AN30" i="49"/>
  <c r="AM72" i="49"/>
  <c r="P27" i="49"/>
  <c r="O69" i="49"/>
  <c r="AU54" i="49"/>
  <c r="J12" i="49"/>
  <c r="AU77" i="49"/>
  <c r="K35" i="49"/>
  <c r="I35" i="49"/>
  <c r="J35" i="49"/>
  <c r="P28" i="49"/>
  <c r="O70" i="49"/>
  <c r="AU79" i="49"/>
  <c r="I37" i="49"/>
  <c r="K37" i="49"/>
  <c r="AM16" i="49"/>
  <c r="AL58" i="49"/>
  <c r="P25" i="49"/>
  <c r="O67" i="49"/>
  <c r="AN21" i="49"/>
  <c r="AM63" i="49"/>
  <c r="O64" i="49"/>
  <c r="P22" i="49"/>
  <c r="AB22" i="49"/>
  <c r="AA64" i="49"/>
  <c r="AN31" i="49"/>
  <c r="AM73" i="49"/>
  <c r="AN29" i="49"/>
  <c r="AM71" i="49"/>
  <c r="AM20" i="49"/>
  <c r="AL62" i="49"/>
  <c r="AN25" i="49"/>
  <c r="AM67" i="49"/>
  <c r="AB30" i="49"/>
  <c r="AA72" i="49"/>
  <c r="AU75" i="49"/>
  <c r="I33" i="49"/>
  <c r="J33" i="49"/>
  <c r="AM17" i="49"/>
  <c r="AL59" i="49"/>
  <c r="AN22" i="49"/>
  <c r="AM64" i="49"/>
  <c r="AB27" i="49"/>
  <c r="AA69" i="49"/>
  <c r="AB29" i="49"/>
  <c r="AA71" i="49"/>
  <c r="AU50" i="49"/>
  <c r="K8" i="49"/>
  <c r="J8" i="49"/>
  <c r="I8" i="49"/>
  <c r="AB21" i="49"/>
  <c r="AA63" i="49"/>
  <c r="AB25" i="49"/>
  <c r="AA67" i="49"/>
  <c r="AB20" i="49"/>
  <c r="AA62" i="49"/>
  <c r="AU49" i="49"/>
  <c r="I7" i="49"/>
  <c r="J7" i="49"/>
  <c r="K7" i="49"/>
  <c r="AU65" i="49"/>
  <c r="K23" i="49"/>
  <c r="J23" i="49"/>
  <c r="I23" i="49"/>
  <c r="O17" i="49"/>
  <c r="N59" i="49"/>
  <c r="O71" i="49"/>
  <c r="P29" i="49"/>
  <c r="AD13" i="49"/>
  <c r="AC55" i="49"/>
  <c r="R13" i="49"/>
  <c r="Q55" i="49"/>
  <c r="AP13" i="49"/>
  <c r="AO55" i="49"/>
  <c r="AN24" i="49"/>
  <c r="AN66" i="49" s="1"/>
  <c r="P24" i="49"/>
  <c r="P66" i="49" s="1"/>
  <c r="AB24" i="49"/>
  <c r="AB66" i="49" s="1"/>
  <c r="N9" i="49"/>
  <c r="N51" i="49" s="1"/>
  <c r="Z9" i="49"/>
  <c r="R9" i="49"/>
  <c r="AH9" i="49"/>
  <c r="P10" i="49"/>
  <c r="P52" i="49" s="1"/>
  <c r="O10" i="49"/>
  <c r="O52" i="49" s="1"/>
  <c r="N10" i="49"/>
  <c r="N52" i="49" s="1"/>
  <c r="U10" i="49"/>
  <c r="U52" i="49" s="1"/>
  <c r="AE10" i="49"/>
  <c r="AE52" i="49" s="1"/>
  <c r="S9" i="49"/>
  <c r="S51" i="49" s="1"/>
  <c r="AD10" i="49"/>
  <c r="AD52" i="49" s="1"/>
  <c r="AB10" i="49"/>
  <c r="AB52" i="49" s="1"/>
  <c r="T10" i="49"/>
  <c r="T52" i="49" s="1"/>
  <c r="AE9" i="49"/>
  <c r="AE51" i="49" s="1"/>
  <c r="W10" i="49"/>
  <c r="W52" i="49" s="1"/>
  <c r="AC10" i="49"/>
  <c r="AC52" i="49" s="1"/>
  <c r="S10" i="49"/>
  <c r="S52" i="49" s="1"/>
  <c r="AM10" i="49"/>
  <c r="AM52" i="49" s="1"/>
  <c r="AF10" i="49"/>
  <c r="AF52" i="49" s="1"/>
  <c r="AL10" i="49"/>
  <c r="AL52" i="49" s="1"/>
  <c r="AK10" i="49"/>
  <c r="AK52" i="49" s="1"/>
  <c r="AR10" i="49"/>
  <c r="AR52" i="49" s="1"/>
  <c r="AA10" i="49"/>
  <c r="AA52" i="49" s="1"/>
  <c r="AP10" i="49"/>
  <c r="AP52" i="49" s="1"/>
  <c r="T15" i="49"/>
  <c r="T57" i="49" s="1"/>
  <c r="T9" i="49"/>
  <c r="T51" i="49" s="1"/>
  <c r="Q15" i="49"/>
  <c r="Q57" i="49" s="1"/>
  <c r="Q9" i="49"/>
  <c r="Q51" i="49" s="1"/>
  <c r="AP15" i="49"/>
  <c r="AP57" i="49" s="1"/>
  <c r="AD9" i="49"/>
  <c r="AD51" i="49" s="1"/>
  <c r="AD15" i="49"/>
  <c r="AD57" i="49" s="1"/>
  <c r="AB9" i="49"/>
  <c r="AB51" i="49" s="1"/>
  <c r="AA9" i="49"/>
  <c r="AA51" i="49" s="1"/>
  <c r="AQ9" i="49"/>
  <c r="AQ51" i="49" s="1"/>
  <c r="AQ15" i="49"/>
  <c r="AQ57" i="49" s="1"/>
  <c r="AO9" i="49"/>
  <c r="AO51" i="49" s="1"/>
  <c r="AN9" i="49"/>
  <c r="AN51" i="49" s="1"/>
  <c r="P9" i="49"/>
  <c r="P51" i="49" s="1"/>
  <c r="AL9" i="49"/>
  <c r="AL51" i="49" s="1"/>
  <c r="AL15" i="49"/>
  <c r="AL57" i="49" s="1"/>
  <c r="AI9" i="49"/>
  <c r="AI51" i="49" s="1"/>
  <c r="AM15" i="49"/>
  <c r="AM57" i="49" s="1"/>
  <c r="AM9" i="49"/>
  <c r="AM51" i="49" s="1"/>
  <c r="AC15" i="49"/>
  <c r="AC57" i="49" s="1"/>
  <c r="AC9" i="49"/>
  <c r="AC51" i="49" s="1"/>
  <c r="AG15" i="49"/>
  <c r="AG57" i="49" s="1"/>
  <c r="AG9" i="49"/>
  <c r="AG51" i="49" s="1"/>
  <c r="U15" i="49"/>
  <c r="U57" i="49" s="1"/>
  <c r="U9" i="49"/>
  <c r="U51" i="49" s="1"/>
  <c r="AF15" i="49"/>
  <c r="AF57" i="49" s="1"/>
  <c r="AF9" i="49"/>
  <c r="AF51" i="49" s="1"/>
  <c r="AS9" i="49"/>
  <c r="AS51" i="49" s="1"/>
  <c r="V9" i="49"/>
  <c r="V51" i="49" s="1"/>
  <c r="V15" i="49"/>
  <c r="V57" i="49" s="1"/>
  <c r="P17" i="49" l="1"/>
  <c r="O59" i="49"/>
  <c r="AC21" i="49"/>
  <c r="AB63" i="49"/>
  <c r="AO22" i="49"/>
  <c r="AN64" i="49"/>
  <c r="AO31" i="49"/>
  <c r="AN73" i="49"/>
  <c r="Q22" i="49"/>
  <c r="P64" i="49"/>
  <c r="AO21" i="49"/>
  <c r="AN63" i="49"/>
  <c r="AM58" i="49"/>
  <c r="AN16" i="49"/>
  <c r="P19" i="49"/>
  <c r="O61" i="49"/>
  <c r="Q21" i="49"/>
  <c r="P63" i="49"/>
  <c r="AB19" i="49"/>
  <c r="AA61" i="49"/>
  <c r="AB18" i="49"/>
  <c r="AA60" i="49"/>
  <c r="AO27" i="49"/>
  <c r="AN69" i="49"/>
  <c r="Q29" i="49"/>
  <c r="P71" i="49"/>
  <c r="AC25" i="49"/>
  <c r="AB67" i="49"/>
  <c r="AC30" i="49"/>
  <c r="AB72" i="49"/>
  <c r="Q28" i="49"/>
  <c r="P70" i="49"/>
  <c r="Q27" i="49"/>
  <c r="P69" i="49"/>
  <c r="AO18" i="49"/>
  <c r="AN60" i="49"/>
  <c r="AC31" i="49"/>
  <c r="AB73" i="49"/>
  <c r="P20" i="49"/>
  <c r="O62" i="49"/>
  <c r="P18" i="49"/>
  <c r="O60" i="49"/>
  <c r="AO28" i="49"/>
  <c r="AN70" i="49"/>
  <c r="AA59" i="49"/>
  <c r="AB17" i="49"/>
  <c r="AC20" i="49"/>
  <c r="AB62" i="49"/>
  <c r="AC27" i="49"/>
  <c r="AB69" i="49"/>
  <c r="AN17" i="49"/>
  <c r="AM59" i="49"/>
  <c r="AO29" i="49"/>
  <c r="AN71" i="49"/>
  <c r="AC22" i="49"/>
  <c r="AB64" i="49"/>
  <c r="Q25" i="49"/>
  <c r="P67" i="49"/>
  <c r="O58" i="49"/>
  <c r="P16" i="49"/>
  <c r="AC29" i="49"/>
  <c r="AB71" i="49"/>
  <c r="AO25" i="49"/>
  <c r="AN67" i="49"/>
  <c r="AN20" i="49"/>
  <c r="AM62" i="49"/>
  <c r="AO30" i="49"/>
  <c r="AN72" i="49"/>
  <c r="AC28" i="49"/>
  <c r="AB70" i="49"/>
  <c r="AN19" i="49"/>
  <c r="AM61" i="49"/>
  <c r="Q31" i="49"/>
  <c r="P73" i="49"/>
  <c r="AB16" i="49"/>
  <c r="AA58" i="49"/>
  <c r="Q30" i="49"/>
  <c r="P72" i="49"/>
  <c r="AE15" i="47"/>
  <c r="AH51" i="49"/>
  <c r="O15" i="47"/>
  <c r="R51" i="49"/>
  <c r="W15" i="47"/>
  <c r="Z51" i="49"/>
  <c r="S13" i="49"/>
  <c r="R55" i="49"/>
  <c r="AQ13" i="49"/>
  <c r="AP55" i="49"/>
  <c r="AE13" i="49"/>
  <c r="AD55" i="49"/>
  <c r="Z15" i="47"/>
  <c r="AA15" i="47"/>
  <c r="AC15" i="47"/>
  <c r="Q24" i="49"/>
  <c r="Q66" i="49" s="1"/>
  <c r="AJ15" i="47"/>
  <c r="R15" i="47"/>
  <c r="Q15" i="47"/>
  <c r="AI15" i="47"/>
  <c r="AC24" i="49"/>
  <c r="AC66" i="49" s="1"/>
  <c r="AO24" i="49"/>
  <c r="AO66" i="49" s="1"/>
  <c r="O15" i="49"/>
  <c r="O57" i="49" s="1"/>
  <c r="V10" i="49"/>
  <c r="O9" i="49"/>
  <c r="O51" i="49" s="1"/>
  <c r="AK9" i="49"/>
  <c r="AK51" i="49" s="1"/>
  <c r="AI10" i="49"/>
  <c r="AI52" i="49" s="1"/>
  <c r="AG10" i="49"/>
  <c r="AP9" i="49"/>
  <c r="AR9" i="49"/>
  <c r="AR51" i="49" s="1"/>
  <c r="Y9" i="49"/>
  <c r="Y51" i="49" s="1"/>
  <c r="P15" i="49"/>
  <c r="M10" i="49"/>
  <c r="M52" i="49" s="1"/>
  <c r="AQ10" i="49"/>
  <c r="AT9" i="49"/>
  <c r="AT51" i="49" s="1"/>
  <c r="AN10" i="49"/>
  <c r="AN52" i="49" s="1"/>
  <c r="N15" i="49"/>
  <c r="AN15" i="49"/>
  <c r="AN57" i="49" s="1"/>
  <c r="AA15" i="49"/>
  <c r="AR15" i="49"/>
  <c r="AR57" i="49" s="1"/>
  <c r="S15" i="49"/>
  <c r="AO10" i="49"/>
  <c r="AO52" i="49" s="1"/>
  <c r="Y15" i="49"/>
  <c r="Y57" i="49" s="1"/>
  <c r="AE15" i="49"/>
  <c r="AB15" i="49"/>
  <c r="Q10" i="49"/>
  <c r="AU9" i="49"/>
  <c r="AU51" i="49" s="1"/>
  <c r="W15" i="49"/>
  <c r="AI15" i="49"/>
  <c r="AI57" i="49" s="1"/>
  <c r="M15" i="49"/>
  <c r="M57" i="49" s="1"/>
  <c r="X15" i="49"/>
  <c r="X57" i="49" s="1"/>
  <c r="AJ10" i="49"/>
  <c r="AJ52" i="49" s="1"/>
  <c r="X9" i="49"/>
  <c r="X51" i="49" s="1"/>
  <c r="AJ9" i="49"/>
  <c r="AJ51" i="49" s="1"/>
  <c r="R30" i="49" l="1"/>
  <c r="Q72" i="49"/>
  <c r="R27" i="49"/>
  <c r="Q69" i="49"/>
  <c r="AP27" i="49"/>
  <c r="AO69" i="49"/>
  <c r="R31" i="49"/>
  <c r="Q73" i="49"/>
  <c r="AD28" i="49"/>
  <c r="AC70" i="49"/>
  <c r="AP25" i="49"/>
  <c r="AO67" i="49"/>
  <c r="Q16" i="49"/>
  <c r="P58" i="49"/>
  <c r="AC69" i="49"/>
  <c r="AD27" i="49"/>
  <c r="AD20" i="49"/>
  <c r="AC62" i="49"/>
  <c r="AP18" i="49"/>
  <c r="AO60" i="49"/>
  <c r="AD30" i="49"/>
  <c r="AC72" i="49"/>
  <c r="AP21" i="49"/>
  <c r="AO63" i="49"/>
  <c r="AO71" i="49"/>
  <c r="AP29" i="49"/>
  <c r="Q18" i="49"/>
  <c r="P60" i="49"/>
  <c r="AP22" i="49"/>
  <c r="AO64" i="49"/>
  <c r="Q17" i="49"/>
  <c r="P59" i="49"/>
  <c r="AC16" i="49"/>
  <c r="AB58" i="49"/>
  <c r="Q67" i="49"/>
  <c r="R25" i="49"/>
  <c r="AD22" i="49"/>
  <c r="AC64" i="49"/>
  <c r="AP28" i="49"/>
  <c r="AO70" i="49"/>
  <c r="AD31" i="49"/>
  <c r="AC73" i="49"/>
  <c r="R29" i="49"/>
  <c r="Q71" i="49"/>
  <c r="AC18" i="49"/>
  <c r="AB60" i="49"/>
  <c r="R21" i="49"/>
  <c r="Q63" i="49"/>
  <c r="AO16" i="49"/>
  <c r="AN58" i="49"/>
  <c r="AP31" i="49"/>
  <c r="AO73" i="49"/>
  <c r="AD21" i="49"/>
  <c r="AC63" i="49"/>
  <c r="AP30" i="49"/>
  <c r="AO72" i="49"/>
  <c r="AC71" i="49"/>
  <c r="AD29" i="49"/>
  <c r="AC19" i="49"/>
  <c r="AB61" i="49"/>
  <c r="Q19" i="49"/>
  <c r="P61" i="49"/>
  <c r="AO19" i="49"/>
  <c r="AN61" i="49"/>
  <c r="AO20" i="49"/>
  <c r="AN62" i="49"/>
  <c r="AO17" i="49"/>
  <c r="AN59" i="49"/>
  <c r="AC17" i="49"/>
  <c r="AB59" i="49"/>
  <c r="Q20" i="49"/>
  <c r="P62" i="49"/>
  <c r="R28" i="49"/>
  <c r="Q70" i="49"/>
  <c r="AD25" i="49"/>
  <c r="AC67" i="49"/>
  <c r="R22" i="49"/>
  <c r="Q64" i="49"/>
  <c r="X15" i="47"/>
  <c r="AA57" i="49"/>
  <c r="T15" i="47"/>
  <c r="W57" i="49"/>
  <c r="M15" i="47"/>
  <c r="P57" i="49"/>
  <c r="S15" i="47"/>
  <c r="V52" i="49"/>
  <c r="N15" i="47"/>
  <c r="Q52" i="49"/>
  <c r="Y15" i="47"/>
  <c r="AB57" i="49"/>
  <c r="K15" i="47"/>
  <c r="N57" i="49"/>
  <c r="AM15" i="47"/>
  <c r="AP51" i="49"/>
  <c r="AB15" i="47"/>
  <c r="AE57" i="49"/>
  <c r="AD15" i="47"/>
  <c r="AG52" i="49"/>
  <c r="AN15" i="47"/>
  <c r="AQ52" i="49"/>
  <c r="P15" i="47"/>
  <c r="S57" i="49"/>
  <c r="AR13" i="49"/>
  <c r="AQ55" i="49"/>
  <c r="AF13" i="49"/>
  <c r="AE55" i="49"/>
  <c r="T13" i="49"/>
  <c r="S55" i="49"/>
  <c r="AF15" i="47"/>
  <c r="AK15" i="47"/>
  <c r="AD24" i="49"/>
  <c r="AD66" i="49" s="1"/>
  <c r="AP24" i="49"/>
  <c r="AP66" i="49" s="1"/>
  <c r="L15" i="47"/>
  <c r="R24" i="49"/>
  <c r="R66" i="49" s="1"/>
  <c r="AO15" i="47"/>
  <c r="AJ15" i="49"/>
  <c r="M9" i="49"/>
  <c r="Y10" i="49"/>
  <c r="AK15" i="49"/>
  <c r="L15" i="49"/>
  <c r="L57" i="49" s="1"/>
  <c r="AS10" i="49"/>
  <c r="AS52" i="49" s="1"/>
  <c r="AT15" i="49"/>
  <c r="AT57" i="49" s="1"/>
  <c r="AS15" i="49"/>
  <c r="AS57" i="49" s="1"/>
  <c r="AT10" i="49"/>
  <c r="AT52" i="49" s="1"/>
  <c r="AU10" i="49"/>
  <c r="AU52" i="49" s="1"/>
  <c r="AU15" i="49"/>
  <c r="AU57" i="49" s="1"/>
  <c r="AO15" i="49"/>
  <c r="AP17" i="49" l="1"/>
  <c r="AO59" i="49"/>
  <c r="AP19" i="49"/>
  <c r="AO61" i="49"/>
  <c r="AP16" i="49"/>
  <c r="AO58" i="49"/>
  <c r="S25" i="49"/>
  <c r="R67" i="49"/>
  <c r="R18" i="49"/>
  <c r="Q60" i="49"/>
  <c r="AD72" i="49"/>
  <c r="AE30" i="49"/>
  <c r="AE20" i="49"/>
  <c r="AD62" i="49"/>
  <c r="AE25" i="49"/>
  <c r="AD67" i="49"/>
  <c r="AD17" i="49"/>
  <c r="AC59" i="49"/>
  <c r="AE31" i="49"/>
  <c r="AD73" i="49"/>
  <c r="AD16" i="49"/>
  <c r="AC58" i="49"/>
  <c r="AQ22" i="49"/>
  <c r="AP64" i="49"/>
  <c r="AQ21" i="49"/>
  <c r="AP63" i="49"/>
  <c r="R16" i="49"/>
  <c r="Q58" i="49"/>
  <c r="S22" i="49"/>
  <c r="R64" i="49"/>
  <c r="R20" i="49"/>
  <c r="Q62" i="49"/>
  <c r="AP20" i="49"/>
  <c r="AO62" i="49"/>
  <c r="AD19" i="49"/>
  <c r="AC61" i="49"/>
  <c r="AQ30" i="49"/>
  <c r="AP72" i="49"/>
  <c r="AQ31" i="49"/>
  <c r="AP73" i="49"/>
  <c r="S21" i="49"/>
  <c r="R63" i="49"/>
  <c r="S29" i="49"/>
  <c r="R71" i="49"/>
  <c r="AQ29" i="49"/>
  <c r="AP71" i="49"/>
  <c r="AQ18" i="49"/>
  <c r="AP60" i="49"/>
  <c r="AE27" i="49"/>
  <c r="AD69" i="49"/>
  <c r="AE28" i="49"/>
  <c r="AD70" i="49"/>
  <c r="AQ27" i="49"/>
  <c r="AP69" i="49"/>
  <c r="AE21" i="49"/>
  <c r="AD63" i="49"/>
  <c r="AD18" i="49"/>
  <c r="AC60" i="49"/>
  <c r="AQ28" i="49"/>
  <c r="AP70" i="49"/>
  <c r="S31" i="49"/>
  <c r="R73" i="49"/>
  <c r="S27" i="49"/>
  <c r="R69" i="49"/>
  <c r="S28" i="49"/>
  <c r="R70" i="49"/>
  <c r="R19" i="49"/>
  <c r="Q61" i="49"/>
  <c r="AE29" i="49"/>
  <c r="AD71" i="49"/>
  <c r="AE22" i="49"/>
  <c r="AD64" i="49"/>
  <c r="R17" i="49"/>
  <c r="Q59" i="49"/>
  <c r="AQ25" i="49"/>
  <c r="AP67" i="49"/>
  <c r="S30" i="49"/>
  <c r="R72" i="49"/>
  <c r="V15" i="47"/>
  <c r="Y52" i="49"/>
  <c r="AL15" i="47"/>
  <c r="AO57" i="49"/>
  <c r="J15" i="47"/>
  <c r="M51" i="49"/>
  <c r="AG15" i="47"/>
  <c r="AJ57" i="49"/>
  <c r="AH15" i="47"/>
  <c r="AK57" i="49"/>
  <c r="AG13" i="49"/>
  <c r="AF55" i="49"/>
  <c r="AS13" i="49"/>
  <c r="AR55" i="49"/>
  <c r="U13" i="49"/>
  <c r="T55" i="49"/>
  <c r="AR15" i="47"/>
  <c r="AP15" i="47"/>
  <c r="AQ15" i="47"/>
  <c r="S24" i="49"/>
  <c r="S66" i="49" s="1"/>
  <c r="AE24" i="49"/>
  <c r="AE66" i="49" s="1"/>
  <c r="AQ24" i="49"/>
  <c r="AQ66" i="49" s="1"/>
  <c r="K10" i="49"/>
  <c r="T30" i="49" l="1"/>
  <c r="S72" i="49"/>
  <c r="AF22" i="49"/>
  <c r="AE64" i="49"/>
  <c r="T28" i="49"/>
  <c r="S70" i="49"/>
  <c r="T31" i="49"/>
  <c r="S73" i="49"/>
  <c r="AF21" i="49"/>
  <c r="AE63" i="49"/>
  <c r="AF28" i="49"/>
  <c r="AE70" i="49"/>
  <c r="AR18" i="49"/>
  <c r="AQ60" i="49"/>
  <c r="S17" i="49"/>
  <c r="R59" i="49"/>
  <c r="AE17" i="49"/>
  <c r="AD59" i="49"/>
  <c r="AF20" i="49"/>
  <c r="AE62" i="49"/>
  <c r="S18" i="49"/>
  <c r="R60" i="49"/>
  <c r="AQ19" i="49"/>
  <c r="AP61" i="49"/>
  <c r="T27" i="49"/>
  <c r="S69" i="49"/>
  <c r="AQ70" i="49"/>
  <c r="AR28" i="49"/>
  <c r="AR27" i="49"/>
  <c r="AQ69" i="49"/>
  <c r="AF27" i="49"/>
  <c r="AE69" i="49"/>
  <c r="T21" i="49"/>
  <c r="S63" i="49"/>
  <c r="T22" i="49"/>
  <c r="S64" i="49"/>
  <c r="AR22" i="49"/>
  <c r="AQ64" i="49"/>
  <c r="AF30" i="49"/>
  <c r="AE72" i="49"/>
  <c r="AR31" i="49"/>
  <c r="AQ73" i="49"/>
  <c r="AE19" i="49"/>
  <c r="AD61" i="49"/>
  <c r="AF29" i="49"/>
  <c r="AE71" i="49"/>
  <c r="AR25" i="49"/>
  <c r="AQ67" i="49"/>
  <c r="AR29" i="49"/>
  <c r="AQ71" i="49"/>
  <c r="T29" i="49"/>
  <c r="S71" i="49"/>
  <c r="AR30" i="49"/>
  <c r="AQ72" i="49"/>
  <c r="AQ20" i="49"/>
  <c r="AP62" i="49"/>
  <c r="S20" i="49"/>
  <c r="R62" i="49"/>
  <c r="AF31" i="49"/>
  <c r="AE73" i="49"/>
  <c r="AF25" i="49"/>
  <c r="AE67" i="49"/>
  <c r="AQ16" i="49"/>
  <c r="AP58" i="49"/>
  <c r="AR21" i="49"/>
  <c r="AQ63" i="49"/>
  <c r="AE16" i="49"/>
  <c r="AD58" i="49"/>
  <c r="T25" i="49"/>
  <c r="S67" i="49"/>
  <c r="AQ17" i="49"/>
  <c r="AP59" i="49"/>
  <c r="S19" i="49"/>
  <c r="R61" i="49"/>
  <c r="AE18" i="49"/>
  <c r="AD60" i="49"/>
  <c r="S16" i="49"/>
  <c r="R58" i="49"/>
  <c r="V13" i="49"/>
  <c r="U55" i="49"/>
  <c r="AT13" i="49"/>
  <c r="AS55" i="49"/>
  <c r="AH13" i="49"/>
  <c r="AG55" i="49"/>
  <c r="F15" i="47"/>
  <c r="AF24" i="49"/>
  <c r="AF66" i="49" s="1"/>
  <c r="AR24" i="49"/>
  <c r="AR66" i="49" s="1"/>
  <c r="T24" i="49"/>
  <c r="T66" i="49" s="1"/>
  <c r="T16" i="49" l="1"/>
  <c r="S58" i="49"/>
  <c r="AS28" i="49"/>
  <c r="AR70" i="49"/>
  <c r="T17" i="49"/>
  <c r="S59" i="49"/>
  <c r="AG21" i="49"/>
  <c r="AF63" i="49"/>
  <c r="U28" i="49"/>
  <c r="T70" i="49"/>
  <c r="U30" i="49"/>
  <c r="T72" i="49"/>
  <c r="AS21" i="49"/>
  <c r="AR63" i="49"/>
  <c r="T18" i="49"/>
  <c r="S60" i="49"/>
  <c r="AS22" i="49"/>
  <c r="AR64" i="49"/>
  <c r="AF18" i="49"/>
  <c r="AE60" i="49"/>
  <c r="AR17" i="49"/>
  <c r="AQ59" i="49"/>
  <c r="AS27" i="49"/>
  <c r="AR69" i="49"/>
  <c r="AF17" i="49"/>
  <c r="AE59" i="49"/>
  <c r="AG28" i="49"/>
  <c r="AF70" i="49"/>
  <c r="U31" i="49"/>
  <c r="T73" i="49"/>
  <c r="AG22" i="49"/>
  <c r="AF64" i="49"/>
  <c r="T19" i="49"/>
  <c r="S61" i="49"/>
  <c r="U25" i="49"/>
  <c r="T67" i="49"/>
  <c r="AR16" i="49"/>
  <c r="AQ58" i="49"/>
  <c r="AG31" i="49"/>
  <c r="AF73" i="49"/>
  <c r="AR20" i="49"/>
  <c r="AQ62" i="49"/>
  <c r="U29" i="49"/>
  <c r="T71" i="49"/>
  <c r="AS25" i="49"/>
  <c r="AR67" i="49"/>
  <c r="AS31" i="49"/>
  <c r="AR73" i="49"/>
  <c r="U21" i="49"/>
  <c r="T63" i="49"/>
  <c r="AF16" i="49"/>
  <c r="AE58" i="49"/>
  <c r="AG25" i="49"/>
  <c r="AF67" i="49"/>
  <c r="T20" i="49"/>
  <c r="S62" i="49"/>
  <c r="AS30" i="49"/>
  <c r="AR72" i="49"/>
  <c r="AS29" i="49"/>
  <c r="AR71" i="49"/>
  <c r="AG29" i="49"/>
  <c r="AF71" i="49"/>
  <c r="AF19" i="49"/>
  <c r="AE61" i="49"/>
  <c r="AG30" i="49"/>
  <c r="AF72" i="49"/>
  <c r="U22" i="49"/>
  <c r="T64" i="49"/>
  <c r="AG27" i="49"/>
  <c r="AF69" i="49"/>
  <c r="U27" i="49"/>
  <c r="T69" i="49"/>
  <c r="AR19" i="49"/>
  <c r="AQ61" i="49"/>
  <c r="AG20" i="49"/>
  <c r="AF62" i="49"/>
  <c r="AS18" i="49"/>
  <c r="AR60" i="49"/>
  <c r="AU13" i="49"/>
  <c r="AU55" i="49" s="1"/>
  <c r="AT55" i="49"/>
  <c r="AI13" i="49"/>
  <c r="AI55" i="49" s="1"/>
  <c r="AH55" i="49"/>
  <c r="W13" i="49"/>
  <c r="W55" i="49" s="1"/>
  <c r="V55" i="49"/>
  <c r="U24" i="49"/>
  <c r="U66" i="49" s="1"/>
  <c r="AS24" i="49"/>
  <c r="AS66" i="49" s="1"/>
  <c r="AG24" i="49"/>
  <c r="AG66" i="49" s="1"/>
  <c r="AH27" i="49" l="1"/>
  <c r="AG69" i="49"/>
  <c r="AG19" i="49"/>
  <c r="AF61" i="49"/>
  <c r="AT29" i="49"/>
  <c r="AS71" i="49"/>
  <c r="V21" i="49"/>
  <c r="U63" i="49"/>
  <c r="AT25" i="49"/>
  <c r="AS67" i="49"/>
  <c r="AH31" i="49"/>
  <c r="AG73" i="49"/>
  <c r="AT21" i="49"/>
  <c r="AS63" i="49"/>
  <c r="V28" i="49"/>
  <c r="U70" i="49"/>
  <c r="U17" i="49"/>
  <c r="T59" i="49"/>
  <c r="V27" i="49"/>
  <c r="U69" i="49"/>
  <c r="U20" i="49"/>
  <c r="T62" i="49"/>
  <c r="AG16" i="49"/>
  <c r="AF58" i="49"/>
  <c r="AS20" i="49"/>
  <c r="AR62" i="49"/>
  <c r="V25" i="49"/>
  <c r="U67" i="49"/>
  <c r="AH22" i="49"/>
  <c r="AG64" i="49"/>
  <c r="AH28" i="49"/>
  <c r="AG70" i="49"/>
  <c r="AT27" i="49"/>
  <c r="AS69" i="49"/>
  <c r="AG18" i="49"/>
  <c r="AF60" i="49"/>
  <c r="U16" i="49"/>
  <c r="T58" i="49"/>
  <c r="AH30" i="49"/>
  <c r="AG72" i="49"/>
  <c r="AH29" i="49"/>
  <c r="AG71" i="49"/>
  <c r="AT30" i="49"/>
  <c r="AS72" i="49"/>
  <c r="AT31" i="49"/>
  <c r="AS73" i="49"/>
  <c r="U18" i="49"/>
  <c r="T60" i="49"/>
  <c r="V30" i="49"/>
  <c r="U72" i="49"/>
  <c r="AH21" i="49"/>
  <c r="AG63" i="49"/>
  <c r="AH20" i="49"/>
  <c r="AG62" i="49"/>
  <c r="AT18" i="49"/>
  <c r="AS60" i="49"/>
  <c r="AS19" i="49"/>
  <c r="AR61" i="49"/>
  <c r="V22" i="49"/>
  <c r="U64" i="49"/>
  <c r="AH25" i="49"/>
  <c r="AG67" i="49"/>
  <c r="V29" i="49"/>
  <c r="U71" i="49"/>
  <c r="AS16" i="49"/>
  <c r="AR58" i="49"/>
  <c r="U19" i="49"/>
  <c r="T61" i="49"/>
  <c r="V31" i="49"/>
  <c r="U73" i="49"/>
  <c r="AG17" i="49"/>
  <c r="AF59" i="49"/>
  <c r="AS17" i="49"/>
  <c r="AR59" i="49"/>
  <c r="AT22" i="49"/>
  <c r="AS64" i="49"/>
  <c r="AT28" i="49"/>
  <c r="AS70" i="49"/>
  <c r="AT24" i="49"/>
  <c r="AT66" i="49" s="1"/>
  <c r="V24" i="49"/>
  <c r="V66" i="49" s="1"/>
  <c r="AH24" i="49"/>
  <c r="AH66" i="49" s="1"/>
  <c r="W30" i="49" l="1"/>
  <c r="W72" i="49" s="1"/>
  <c r="V72" i="49"/>
  <c r="AU31" i="49"/>
  <c r="AT73" i="49"/>
  <c r="AI29" i="49"/>
  <c r="AI71" i="49" s="1"/>
  <c r="AH71" i="49"/>
  <c r="V16" i="49"/>
  <c r="U58" i="49"/>
  <c r="W25" i="49"/>
  <c r="W67" i="49" s="1"/>
  <c r="V67" i="49"/>
  <c r="AU21" i="49"/>
  <c r="AT63" i="49"/>
  <c r="AU25" i="49"/>
  <c r="AT67" i="49"/>
  <c r="AU29" i="49"/>
  <c r="AT71" i="49"/>
  <c r="AI20" i="49"/>
  <c r="AI62" i="49" s="1"/>
  <c r="AH62" i="49"/>
  <c r="AU22" i="49"/>
  <c r="AT64" i="49"/>
  <c r="AI25" i="49"/>
  <c r="AH67" i="49"/>
  <c r="AH17" i="49"/>
  <c r="AG59" i="49"/>
  <c r="V19" i="49"/>
  <c r="U61" i="49"/>
  <c r="W29" i="49"/>
  <c r="W71" i="49" s="1"/>
  <c r="V71" i="49"/>
  <c r="I29" i="49"/>
  <c r="AT19" i="49"/>
  <c r="AS61" i="49"/>
  <c r="AU18" i="49"/>
  <c r="AT60" i="49"/>
  <c r="AU27" i="49"/>
  <c r="AT69" i="49"/>
  <c r="AH16" i="49"/>
  <c r="AG58" i="49"/>
  <c r="W27" i="49"/>
  <c r="W69" i="49" s="1"/>
  <c r="V69" i="49"/>
  <c r="AI27" i="49"/>
  <c r="AI69" i="49" s="1"/>
  <c r="AH69" i="49"/>
  <c r="AU28" i="49"/>
  <c r="AT70" i="49"/>
  <c r="AT17" i="49"/>
  <c r="AS59" i="49"/>
  <c r="AI21" i="49"/>
  <c r="AI63" i="49" s="1"/>
  <c r="AH63" i="49"/>
  <c r="V18" i="49"/>
  <c r="U60" i="49"/>
  <c r="AU30" i="49"/>
  <c r="AT72" i="49"/>
  <c r="AI30" i="49"/>
  <c r="AI72" i="49" s="1"/>
  <c r="AH72" i="49"/>
  <c r="AH18" i="49"/>
  <c r="AG60" i="49"/>
  <c r="AI22" i="49"/>
  <c r="AI64" i="49" s="1"/>
  <c r="AH64" i="49"/>
  <c r="AT20" i="49"/>
  <c r="AS62" i="49"/>
  <c r="W28" i="49"/>
  <c r="W70" i="49" s="1"/>
  <c r="V70" i="49"/>
  <c r="AI31" i="49"/>
  <c r="AI73" i="49" s="1"/>
  <c r="AH73" i="49"/>
  <c r="J31" i="49"/>
  <c r="W21" i="49"/>
  <c r="W63" i="49" s="1"/>
  <c r="V63" i="49"/>
  <c r="W31" i="49"/>
  <c r="W73" i="49" s="1"/>
  <c r="V73" i="49"/>
  <c r="AT16" i="49"/>
  <c r="AS58" i="49"/>
  <c r="W22" i="49"/>
  <c r="W64" i="49" s="1"/>
  <c r="V64" i="49"/>
  <c r="AI28" i="49"/>
  <c r="AI70" i="49" s="1"/>
  <c r="AH70" i="49"/>
  <c r="V20" i="49"/>
  <c r="U62" i="49"/>
  <c r="V17" i="49"/>
  <c r="U59" i="49"/>
  <c r="AH19" i="49"/>
  <c r="AG61" i="49"/>
  <c r="AI24" i="49"/>
  <c r="AI66" i="49" s="1"/>
  <c r="J24" i="49"/>
  <c r="W24" i="49"/>
  <c r="W66" i="49" s="1"/>
  <c r="AU24" i="49"/>
  <c r="AU66" i="49" s="1"/>
  <c r="W18" i="49" l="1"/>
  <c r="W60" i="49" s="1"/>
  <c r="V60" i="49"/>
  <c r="AU17" i="49"/>
  <c r="AT59" i="49"/>
  <c r="AI16" i="49"/>
  <c r="AI58" i="49" s="1"/>
  <c r="AH58" i="49"/>
  <c r="J16" i="49"/>
  <c r="AU60" i="49"/>
  <c r="I18" i="49"/>
  <c r="K18" i="49"/>
  <c r="W17" i="49"/>
  <c r="W59" i="49" s="1"/>
  <c r="V59" i="49"/>
  <c r="I21" i="49"/>
  <c r="AI17" i="49"/>
  <c r="AI59" i="49" s="1"/>
  <c r="AH59" i="49"/>
  <c r="AU64" i="49"/>
  <c r="K22" i="49"/>
  <c r="J22" i="49"/>
  <c r="AU71" i="49"/>
  <c r="J29" i="49"/>
  <c r="K29" i="49"/>
  <c r="AU63" i="49"/>
  <c r="K21" i="49"/>
  <c r="J21" i="49"/>
  <c r="W16" i="49"/>
  <c r="W58" i="49" s="1"/>
  <c r="V58" i="49"/>
  <c r="AU73" i="49"/>
  <c r="K31" i="49"/>
  <c r="I31" i="49"/>
  <c r="I22" i="49"/>
  <c r="AI19" i="49"/>
  <c r="AI61" i="49" s="1"/>
  <c r="AH61" i="49"/>
  <c r="J19" i="49"/>
  <c r="W20" i="49"/>
  <c r="W62" i="49" s="1"/>
  <c r="V62" i="49"/>
  <c r="I20" i="49"/>
  <c r="AU16" i="49"/>
  <c r="AT58" i="49"/>
  <c r="AU20" i="49"/>
  <c r="AT62" i="49"/>
  <c r="AI18" i="49"/>
  <c r="AI60" i="49" s="1"/>
  <c r="AH60" i="49"/>
  <c r="AU72" i="49"/>
  <c r="K30" i="49"/>
  <c r="I30" i="49"/>
  <c r="J30" i="49"/>
  <c r="AU70" i="49"/>
  <c r="J28" i="49"/>
  <c r="K28" i="49"/>
  <c r="I28" i="49"/>
  <c r="AU69" i="49"/>
  <c r="I27" i="49"/>
  <c r="J27" i="49"/>
  <c r="K27" i="49"/>
  <c r="AU19" i="49"/>
  <c r="AT61" i="49"/>
  <c r="W19" i="49"/>
  <c r="W61" i="49" s="1"/>
  <c r="V61" i="49"/>
  <c r="AI67" i="49"/>
  <c r="J25" i="49"/>
  <c r="AU67" i="49"/>
  <c r="K25" i="49"/>
  <c r="I25" i="49"/>
  <c r="K24" i="49"/>
  <c r="I24" i="49"/>
  <c r="AU58" i="49" l="1"/>
  <c r="I16" i="49"/>
  <c r="K16" i="49"/>
  <c r="AU59" i="49"/>
  <c r="I17" i="49"/>
  <c r="K17" i="49"/>
  <c r="AU61" i="49"/>
  <c r="I19" i="49"/>
  <c r="K19" i="49"/>
  <c r="AU62" i="49"/>
  <c r="K20" i="49"/>
  <c r="J20" i="49"/>
  <c r="J17" i="49"/>
  <c r="J18" i="49"/>
  <c r="J9" i="49"/>
  <c r="I9" i="49" l="1"/>
  <c r="K9" i="49"/>
  <c r="B6" i="50" l="1"/>
  <c r="B7" i="50"/>
  <c r="I10" i="50"/>
  <c r="I19" i="50" s="1"/>
  <c r="J10" i="50"/>
  <c r="J19" i="50" s="1"/>
  <c r="K10" i="50"/>
  <c r="K19" i="50" s="1"/>
  <c r="L10" i="50"/>
  <c r="L19" i="50" s="1"/>
  <c r="M10" i="50"/>
  <c r="M19" i="50" s="1"/>
  <c r="N10" i="50"/>
  <c r="N19" i="50" s="1"/>
  <c r="O10" i="50"/>
  <c r="O19" i="50" s="1"/>
  <c r="P10" i="50"/>
  <c r="P19" i="50" s="1"/>
  <c r="Q10" i="50"/>
  <c r="Q19" i="50" s="1"/>
  <c r="R10" i="50"/>
  <c r="R19" i="50" s="1"/>
  <c r="S10" i="50"/>
  <c r="S19" i="50" s="1"/>
  <c r="T10" i="50"/>
  <c r="T19" i="50" s="1"/>
  <c r="U10" i="50"/>
  <c r="U19" i="50" s="1"/>
  <c r="V10" i="50"/>
  <c r="V19" i="50" s="1"/>
  <c r="W10" i="50"/>
  <c r="W19" i="50" s="1"/>
  <c r="X10" i="50"/>
  <c r="X19" i="50" s="1"/>
  <c r="Y10" i="50"/>
  <c r="Y19" i="50" s="1"/>
  <c r="Z10" i="50"/>
  <c r="Z19" i="50" s="1"/>
  <c r="AA10" i="50"/>
  <c r="AA19" i="50" s="1"/>
  <c r="AB10" i="50"/>
  <c r="AB19" i="50" s="1"/>
  <c r="AC10" i="50"/>
  <c r="AC19" i="50" s="1"/>
  <c r="AD10" i="50"/>
  <c r="AD19" i="50" s="1"/>
  <c r="AE10" i="50"/>
  <c r="AE19" i="50" s="1"/>
  <c r="AF10" i="50"/>
  <c r="AF19" i="50" s="1"/>
  <c r="AG10" i="50"/>
  <c r="AG19" i="50" s="1"/>
  <c r="AH10" i="50"/>
  <c r="AH19" i="50" s="1"/>
  <c r="AI10" i="50"/>
  <c r="AI19" i="50" s="1"/>
  <c r="AJ10" i="50"/>
  <c r="AJ19" i="50" s="1"/>
  <c r="AK10" i="50"/>
  <c r="AK19" i="50" s="1"/>
  <c r="AL10" i="50"/>
  <c r="AL19" i="50" s="1"/>
  <c r="AM10" i="50"/>
  <c r="AM19" i="50" s="1"/>
  <c r="AN10" i="50"/>
  <c r="AN19" i="50" s="1"/>
  <c r="AO10" i="50"/>
  <c r="AO19" i="50" s="1"/>
  <c r="AP10" i="50"/>
  <c r="AP19" i="50" s="1"/>
  <c r="AQ10" i="50"/>
  <c r="AQ19" i="50" s="1"/>
  <c r="H10" i="50"/>
  <c r="H19" i="50" s="1"/>
  <c r="D10" i="50" l="1"/>
  <c r="C10" i="50"/>
  <c r="E10" i="50"/>
  <c r="G10" i="50" l="1"/>
  <c r="F10" i="50"/>
  <c r="D28" i="47" l="1"/>
  <c r="D29" i="47"/>
  <c r="I32" i="47"/>
  <c r="I33" i="47"/>
  <c r="J37" i="47"/>
  <c r="K37" i="47"/>
  <c r="L37" i="47"/>
  <c r="M37" i="47"/>
  <c r="N37" i="47"/>
  <c r="O37" i="47"/>
  <c r="P37" i="47"/>
  <c r="Q37" i="47"/>
  <c r="R37" i="47"/>
  <c r="S37" i="47"/>
  <c r="T37" i="47"/>
  <c r="U37" i="47" s="1"/>
  <c r="I31" i="47" l="1"/>
  <c r="J47" i="47"/>
  <c r="K47" i="47" s="1"/>
  <c r="L47" i="47" s="1"/>
  <c r="M47" i="47" s="1"/>
  <c r="N47" i="47" s="1"/>
  <c r="O47" i="47" s="1"/>
  <c r="P47" i="47" s="1"/>
  <c r="Q47" i="47" s="1"/>
  <c r="R47" i="47" s="1"/>
  <c r="S47" i="47" s="1"/>
  <c r="T47" i="47" s="1"/>
  <c r="U47" i="47" s="1"/>
  <c r="V47" i="47" s="1"/>
  <c r="W47" i="47" s="1"/>
  <c r="X47" i="47" s="1"/>
  <c r="Y47" i="47" s="1"/>
  <c r="Z47" i="47" s="1"/>
  <c r="AA47" i="47" s="1"/>
  <c r="AB47" i="47" s="1"/>
  <c r="AC47" i="47" s="1"/>
  <c r="AD47" i="47" s="1"/>
  <c r="AE47" i="47" s="1"/>
  <c r="AF47" i="47" s="1"/>
  <c r="AG47" i="47" s="1"/>
  <c r="J45" i="47"/>
  <c r="K45" i="47" s="1"/>
  <c r="L45" i="47" s="1"/>
  <c r="M45" i="47" s="1"/>
  <c r="N45" i="47" s="1"/>
  <c r="O45" i="47" s="1"/>
  <c r="P45" i="47" s="1"/>
  <c r="Q45" i="47" s="1"/>
  <c r="R45" i="47" s="1"/>
  <c r="S45" i="47" s="1"/>
  <c r="T45" i="47" s="1"/>
  <c r="U45" i="47" s="1"/>
  <c r="V45" i="47" s="1"/>
  <c r="W45" i="47" s="1"/>
  <c r="X45" i="47" s="1"/>
  <c r="Y45" i="47" s="1"/>
  <c r="Z45" i="47" s="1"/>
  <c r="AA45" i="47" s="1"/>
  <c r="AB45" i="47" s="1"/>
  <c r="AC45" i="47" s="1"/>
  <c r="AD45" i="47" s="1"/>
  <c r="AE45" i="47" s="1"/>
  <c r="AF45" i="47" s="1"/>
  <c r="AG45" i="47" s="1"/>
  <c r="D45" i="47"/>
  <c r="D37" i="47"/>
  <c r="J35" i="47"/>
  <c r="K35" i="47" s="1"/>
  <c r="L35" i="47" s="1"/>
  <c r="M35" i="47" s="1"/>
  <c r="N35" i="47" s="1"/>
  <c r="O35" i="47" s="1"/>
  <c r="P35" i="47" s="1"/>
  <c r="Q35" i="47" s="1"/>
  <c r="R35" i="47" s="1"/>
  <c r="S35" i="47" s="1"/>
  <c r="T35" i="47" s="1"/>
  <c r="U35" i="47" s="1"/>
  <c r="V35" i="47" s="1"/>
  <c r="W35" i="47" s="1"/>
  <c r="X35" i="47" s="1"/>
  <c r="Y35" i="47" s="1"/>
  <c r="Z35" i="47" s="1"/>
  <c r="AA35" i="47" s="1"/>
  <c r="AB35" i="47" s="1"/>
  <c r="AC35" i="47" s="1"/>
  <c r="AD35" i="47" s="1"/>
  <c r="AE35" i="47" s="1"/>
  <c r="AF35" i="47" s="1"/>
  <c r="AG35" i="47" s="1"/>
  <c r="J41" i="47"/>
  <c r="K41" i="47" s="1"/>
  <c r="L41" i="47" s="1"/>
  <c r="M41" i="47" s="1"/>
  <c r="N41" i="47" s="1"/>
  <c r="O41" i="47" s="1"/>
  <c r="P41" i="47" s="1"/>
  <c r="Q41" i="47" s="1"/>
  <c r="R41" i="47" s="1"/>
  <c r="S41" i="47" s="1"/>
  <c r="T41" i="47" s="1"/>
  <c r="U41" i="47" s="1"/>
  <c r="V41" i="47" s="1"/>
  <c r="W41" i="47" s="1"/>
  <c r="X41" i="47" s="1"/>
  <c r="Y41" i="47" s="1"/>
  <c r="Z41" i="47" s="1"/>
  <c r="AA41" i="47" s="1"/>
  <c r="AB41" i="47" s="1"/>
  <c r="AC41" i="47" s="1"/>
  <c r="AD41" i="47" s="1"/>
  <c r="AE41" i="47" s="1"/>
  <c r="AF41" i="47" s="1"/>
  <c r="AG41" i="47" s="1"/>
  <c r="J33" i="47"/>
  <c r="K33" i="47" s="1"/>
  <c r="L33" i="47" s="1"/>
  <c r="M33" i="47" s="1"/>
  <c r="N33" i="47" s="1"/>
  <c r="O33" i="47" s="1"/>
  <c r="P33" i="47" s="1"/>
  <c r="Q33" i="47" s="1"/>
  <c r="R33" i="47" s="1"/>
  <c r="S33" i="47" s="1"/>
  <c r="T33" i="47" s="1"/>
  <c r="U33" i="47" s="1"/>
  <c r="J49" i="47"/>
  <c r="K49" i="47" s="1"/>
  <c r="V37" i="47"/>
  <c r="W37" i="47" s="1"/>
  <c r="X37" i="47" s="1"/>
  <c r="Y37" i="47" s="1"/>
  <c r="Z37" i="47" s="1"/>
  <c r="AA37" i="47" s="1"/>
  <c r="AB37" i="47" s="1"/>
  <c r="AC37" i="47" s="1"/>
  <c r="AD37" i="47" s="1"/>
  <c r="AE37" i="47" s="1"/>
  <c r="AF37" i="47" s="1"/>
  <c r="AG37" i="47" s="1"/>
  <c r="AH37" i="47" s="1"/>
  <c r="AI37" i="47" s="1"/>
  <c r="AJ37" i="47" s="1"/>
  <c r="AK37" i="47" s="1"/>
  <c r="AL37" i="47" s="1"/>
  <c r="AM37" i="47" s="1"/>
  <c r="AN37" i="47" s="1"/>
  <c r="AO37" i="47" s="1"/>
  <c r="AP37" i="47" s="1"/>
  <c r="AQ37" i="47" s="1"/>
  <c r="AR37" i="47" s="1"/>
  <c r="E37" i="47"/>
  <c r="J39" i="47"/>
  <c r="K39" i="47" s="1"/>
  <c r="L39" i="47" s="1"/>
  <c r="M39" i="47" s="1"/>
  <c r="N39" i="47" s="1"/>
  <c r="O39" i="47" s="1"/>
  <c r="P39" i="47" s="1"/>
  <c r="Q39" i="47" s="1"/>
  <c r="R39" i="47" s="1"/>
  <c r="S39" i="47" s="1"/>
  <c r="T39" i="47" s="1"/>
  <c r="U39" i="47" s="1"/>
  <c r="V39" i="47" s="1"/>
  <c r="W39" i="47" s="1"/>
  <c r="X39" i="47" s="1"/>
  <c r="Y39" i="47" s="1"/>
  <c r="Z39" i="47" s="1"/>
  <c r="AA39" i="47" s="1"/>
  <c r="AB39" i="47" s="1"/>
  <c r="AC39" i="47" s="1"/>
  <c r="AD39" i="47" s="1"/>
  <c r="AE39" i="47" s="1"/>
  <c r="AF39" i="47" s="1"/>
  <c r="AG39" i="47" s="1"/>
  <c r="I27" i="47"/>
  <c r="J32" i="47"/>
  <c r="G29" i="47"/>
  <c r="H28" i="47"/>
  <c r="H29" i="47"/>
  <c r="G28" i="47"/>
  <c r="J46" i="47"/>
  <c r="K46" i="47" s="1"/>
  <c r="L46" i="47" s="1"/>
  <c r="M46" i="47" s="1"/>
  <c r="N46" i="47" s="1"/>
  <c r="O46" i="47" s="1"/>
  <c r="P46" i="47" s="1"/>
  <c r="Q46" i="47" s="1"/>
  <c r="R46" i="47" s="1"/>
  <c r="S46" i="47" s="1"/>
  <c r="T46" i="47" s="1"/>
  <c r="U46" i="47" s="1"/>
  <c r="V33" i="47"/>
  <c r="W33" i="47" s="1"/>
  <c r="X33" i="47" s="1"/>
  <c r="Y33" i="47" s="1"/>
  <c r="Z33" i="47" s="1"/>
  <c r="AA33" i="47" s="1"/>
  <c r="AB33" i="47" s="1"/>
  <c r="AC33" i="47" s="1"/>
  <c r="AD33" i="47" s="1"/>
  <c r="AE33" i="47" s="1"/>
  <c r="AF33" i="47" s="1"/>
  <c r="AG33" i="47" s="1"/>
  <c r="J40" i="47"/>
  <c r="J38" i="47"/>
  <c r="K38" i="47" s="1"/>
  <c r="L38" i="47" s="1"/>
  <c r="M38" i="47" s="1"/>
  <c r="N38" i="47" s="1"/>
  <c r="O38" i="47" s="1"/>
  <c r="P38" i="47" s="1"/>
  <c r="Q38" i="47" s="1"/>
  <c r="R38" i="47" s="1"/>
  <c r="S38" i="47" s="1"/>
  <c r="T38" i="47" s="1"/>
  <c r="U38" i="47" s="1"/>
  <c r="J42" i="47"/>
  <c r="K42" i="47" s="1"/>
  <c r="L42" i="47" s="1"/>
  <c r="M42" i="47" s="1"/>
  <c r="N42" i="47" s="1"/>
  <c r="O42" i="47" s="1"/>
  <c r="P42" i="47" s="1"/>
  <c r="Q42" i="47" s="1"/>
  <c r="R42" i="47" s="1"/>
  <c r="S42" i="47" s="1"/>
  <c r="T42" i="47" s="1"/>
  <c r="U42" i="47" s="1"/>
  <c r="J36" i="47"/>
  <c r="J24" i="47"/>
  <c r="J31" i="47" l="1"/>
  <c r="D33" i="47"/>
  <c r="D35" i="47"/>
  <c r="E47" i="47"/>
  <c r="D41" i="47"/>
  <c r="C32" i="62" s="1"/>
  <c r="L49" i="47"/>
  <c r="M49" i="47" s="1"/>
  <c r="N49" i="47" s="1"/>
  <c r="O49" i="47" s="1"/>
  <c r="P49" i="47" s="1"/>
  <c r="Q49" i="47" s="1"/>
  <c r="R49" i="47" s="1"/>
  <c r="S49" i="47" s="1"/>
  <c r="T49" i="47" s="1"/>
  <c r="U49" i="47" s="1"/>
  <c r="E39" i="47"/>
  <c r="E33" i="47"/>
  <c r="G33" i="47" s="1"/>
  <c r="E45" i="47"/>
  <c r="G45" i="47" s="1"/>
  <c r="D46" i="47"/>
  <c r="K36" i="47"/>
  <c r="L36" i="47" s="1"/>
  <c r="M36" i="47" s="1"/>
  <c r="N36" i="47" s="1"/>
  <c r="O36" i="47" s="1"/>
  <c r="P36" i="47" s="1"/>
  <c r="Q36" i="47" s="1"/>
  <c r="R36" i="47" s="1"/>
  <c r="S36" i="47" s="1"/>
  <c r="T36" i="47" s="1"/>
  <c r="F37" i="47"/>
  <c r="H37" i="47" s="1"/>
  <c r="E41" i="47"/>
  <c r="D47" i="47"/>
  <c r="E35" i="47"/>
  <c r="D42" i="47"/>
  <c r="C34" i="62" s="1"/>
  <c r="D38" i="47"/>
  <c r="D39" i="47"/>
  <c r="K40" i="47"/>
  <c r="V49" i="47"/>
  <c r="W49" i="47" s="1"/>
  <c r="X49" i="47" s="1"/>
  <c r="Y49" i="47" s="1"/>
  <c r="Z49" i="47" s="1"/>
  <c r="AA49" i="47" s="1"/>
  <c r="AB49" i="47" s="1"/>
  <c r="AC49" i="47" s="1"/>
  <c r="AD49" i="47" s="1"/>
  <c r="AE49" i="47" s="1"/>
  <c r="AF49" i="47" s="1"/>
  <c r="AG49" i="47" s="1"/>
  <c r="K32" i="47"/>
  <c r="K31" i="47" s="1"/>
  <c r="J30" i="47"/>
  <c r="K30" i="47" s="1"/>
  <c r="L30" i="47" s="1"/>
  <c r="M30" i="47" s="1"/>
  <c r="N30" i="47" s="1"/>
  <c r="O30" i="47" s="1"/>
  <c r="P30" i="47" s="1"/>
  <c r="Q30" i="47" s="1"/>
  <c r="R30" i="47" s="1"/>
  <c r="S30" i="47" s="1"/>
  <c r="T30" i="47" s="1"/>
  <c r="U30" i="47" s="1"/>
  <c r="G37" i="47"/>
  <c r="AH39" i="47"/>
  <c r="AI39" i="47" s="1"/>
  <c r="AJ39" i="47" s="1"/>
  <c r="AK39" i="47" s="1"/>
  <c r="AL39" i="47" s="1"/>
  <c r="AM39" i="47" s="1"/>
  <c r="AN39" i="47" s="1"/>
  <c r="AO39" i="47" s="1"/>
  <c r="AP39" i="47" s="1"/>
  <c r="AQ39" i="47" s="1"/>
  <c r="AR39" i="47" s="1"/>
  <c r="AH45" i="47"/>
  <c r="AI45" i="47" s="1"/>
  <c r="AJ45" i="47" s="1"/>
  <c r="AK45" i="47" s="1"/>
  <c r="AL45" i="47" s="1"/>
  <c r="AM45" i="47" s="1"/>
  <c r="AN45" i="47" s="1"/>
  <c r="AO45" i="47" s="1"/>
  <c r="AP45" i="47" s="1"/>
  <c r="AQ45" i="47" s="1"/>
  <c r="AR45" i="47" s="1"/>
  <c r="V46" i="47"/>
  <c r="W46" i="47" s="1"/>
  <c r="X46" i="47" s="1"/>
  <c r="Y46" i="47" s="1"/>
  <c r="Z46" i="47" s="1"/>
  <c r="AA46" i="47" s="1"/>
  <c r="AB46" i="47" s="1"/>
  <c r="AC46" i="47" s="1"/>
  <c r="AD46" i="47" s="1"/>
  <c r="AE46" i="47" s="1"/>
  <c r="AF46" i="47" s="1"/>
  <c r="AG46" i="47" s="1"/>
  <c r="AH47" i="47"/>
  <c r="AI47" i="47" s="1"/>
  <c r="AJ47" i="47" s="1"/>
  <c r="AK47" i="47" s="1"/>
  <c r="AL47" i="47" s="1"/>
  <c r="AM47" i="47" s="1"/>
  <c r="AN47" i="47" s="1"/>
  <c r="AO47" i="47" s="1"/>
  <c r="AP47" i="47" s="1"/>
  <c r="AQ47" i="47" s="1"/>
  <c r="AR47" i="47" s="1"/>
  <c r="K24" i="47"/>
  <c r="V42" i="47"/>
  <c r="W42" i="47" s="1"/>
  <c r="X42" i="47" s="1"/>
  <c r="Y42" i="47" s="1"/>
  <c r="Z42" i="47" s="1"/>
  <c r="AA42" i="47" s="1"/>
  <c r="AB42" i="47" s="1"/>
  <c r="AC42" i="47" s="1"/>
  <c r="AD42" i="47" s="1"/>
  <c r="AE42" i="47" s="1"/>
  <c r="AF42" i="47" s="1"/>
  <c r="AG42" i="47" s="1"/>
  <c r="V38" i="47"/>
  <c r="W38" i="47" s="1"/>
  <c r="X38" i="47" s="1"/>
  <c r="Y38" i="47" s="1"/>
  <c r="Z38" i="47" s="1"/>
  <c r="AA38" i="47" s="1"/>
  <c r="AB38" i="47" s="1"/>
  <c r="AC38" i="47" s="1"/>
  <c r="AD38" i="47" s="1"/>
  <c r="AE38" i="47" s="1"/>
  <c r="AF38" i="47" s="1"/>
  <c r="AG38" i="47" s="1"/>
  <c r="AH33" i="47"/>
  <c r="AI33" i="47" s="1"/>
  <c r="AJ33" i="47" s="1"/>
  <c r="AK33" i="47" s="1"/>
  <c r="AL33" i="47" s="1"/>
  <c r="AM33" i="47" s="1"/>
  <c r="AN33" i="47" s="1"/>
  <c r="AO33" i="47" s="1"/>
  <c r="AP33" i="47" s="1"/>
  <c r="AQ33" i="47" s="1"/>
  <c r="AR33" i="47" s="1"/>
  <c r="AH35" i="47"/>
  <c r="AI35" i="47" s="1"/>
  <c r="AJ35" i="47" s="1"/>
  <c r="AK35" i="47" s="1"/>
  <c r="AL35" i="47" s="1"/>
  <c r="AM35" i="47" s="1"/>
  <c r="AN35" i="47" s="1"/>
  <c r="AO35" i="47" s="1"/>
  <c r="AP35" i="47" s="1"/>
  <c r="AQ35" i="47" s="1"/>
  <c r="AR35" i="47" s="1"/>
  <c r="AH41" i="47"/>
  <c r="AI41" i="47" s="1"/>
  <c r="AJ41" i="47" s="1"/>
  <c r="AK41" i="47" s="1"/>
  <c r="AL41" i="47" s="1"/>
  <c r="AM41" i="47" s="1"/>
  <c r="AN41" i="47" s="1"/>
  <c r="AO41" i="47" s="1"/>
  <c r="AP41" i="47" s="1"/>
  <c r="AQ41" i="47" s="1"/>
  <c r="AR41" i="47" s="1"/>
  <c r="D49" i="47" l="1"/>
  <c r="C36" i="62" s="1"/>
  <c r="AV49" i="47" s="1"/>
  <c r="G47" i="47"/>
  <c r="U36" i="47"/>
  <c r="V36" i="47" s="1"/>
  <c r="D36" i="47"/>
  <c r="C24" i="62"/>
  <c r="AV35" i="47" s="1"/>
  <c r="AV41" i="47"/>
  <c r="AV42" i="47"/>
  <c r="F33" i="47"/>
  <c r="H33" i="47" s="1"/>
  <c r="E42" i="47"/>
  <c r="F41" i="47"/>
  <c r="E38" i="47"/>
  <c r="G38" i="47" s="1"/>
  <c r="F47" i="47"/>
  <c r="H47" i="47" s="1"/>
  <c r="E46" i="47"/>
  <c r="G46" i="47" s="1"/>
  <c r="D30" i="47"/>
  <c r="E49" i="47"/>
  <c r="G49" i="47" s="1"/>
  <c r="F45" i="47"/>
  <c r="H45" i="47" s="1"/>
  <c r="F39" i="47"/>
  <c r="F35" i="47"/>
  <c r="L40" i="47"/>
  <c r="G39" i="47"/>
  <c r="G35" i="47"/>
  <c r="G41" i="47"/>
  <c r="D32" i="62"/>
  <c r="L32" i="47"/>
  <c r="M32" i="47" s="1"/>
  <c r="M31" i="47" s="1"/>
  <c r="AH49" i="47"/>
  <c r="AI49" i="47" s="1"/>
  <c r="AJ49" i="47" s="1"/>
  <c r="AK49" i="47" s="1"/>
  <c r="AL49" i="47" s="1"/>
  <c r="AM49" i="47" s="1"/>
  <c r="AN49" i="47" s="1"/>
  <c r="AO49" i="47" s="1"/>
  <c r="AP49" i="47" s="1"/>
  <c r="AQ49" i="47" s="1"/>
  <c r="AR49" i="47" s="1"/>
  <c r="V30" i="47"/>
  <c r="W30" i="47" s="1"/>
  <c r="X30" i="47" s="1"/>
  <c r="Y30" i="47" s="1"/>
  <c r="Z30" i="47" s="1"/>
  <c r="AA30" i="47" s="1"/>
  <c r="AB30" i="47" s="1"/>
  <c r="AC30" i="47" s="1"/>
  <c r="AD30" i="47" s="1"/>
  <c r="AE30" i="47" s="1"/>
  <c r="AF30" i="47" s="1"/>
  <c r="AG30" i="47" s="1"/>
  <c r="AH38" i="47"/>
  <c r="AI38" i="47" s="1"/>
  <c r="AJ38" i="47" s="1"/>
  <c r="AK38" i="47" s="1"/>
  <c r="AL38" i="47" s="1"/>
  <c r="AM38" i="47" s="1"/>
  <c r="AN38" i="47" s="1"/>
  <c r="AO38" i="47" s="1"/>
  <c r="AP38" i="47" s="1"/>
  <c r="AQ38" i="47" s="1"/>
  <c r="AR38" i="47" s="1"/>
  <c r="AH42" i="47"/>
  <c r="AI42" i="47" s="1"/>
  <c r="AJ42" i="47" s="1"/>
  <c r="AK42" i="47" s="1"/>
  <c r="AL42" i="47" s="1"/>
  <c r="AM42" i="47" s="1"/>
  <c r="AN42" i="47" s="1"/>
  <c r="AO42" i="47" s="1"/>
  <c r="AP42" i="47" s="1"/>
  <c r="AQ42" i="47" s="1"/>
  <c r="AR42" i="47" s="1"/>
  <c r="AH46" i="47"/>
  <c r="AI46" i="47" s="1"/>
  <c r="AJ46" i="47" s="1"/>
  <c r="AK46" i="47" s="1"/>
  <c r="AL46" i="47" s="1"/>
  <c r="AM46" i="47" s="1"/>
  <c r="AN46" i="47" s="1"/>
  <c r="AO46" i="47" s="1"/>
  <c r="AP46" i="47" s="1"/>
  <c r="AQ46" i="47" s="1"/>
  <c r="AR46" i="47" s="1"/>
  <c r="L24" i="47"/>
  <c r="D36" i="62" l="1"/>
  <c r="I36" i="62" s="1"/>
  <c r="W36" i="47"/>
  <c r="X36" i="47" s="1"/>
  <c r="Y36" i="47" s="1"/>
  <c r="Z36" i="47" s="1"/>
  <c r="AA36" i="47" s="1"/>
  <c r="AB36" i="47" s="1"/>
  <c r="AC36" i="47" s="1"/>
  <c r="AD36" i="47" s="1"/>
  <c r="AE36" i="47" s="1"/>
  <c r="AF36" i="47" s="1"/>
  <c r="AG36" i="47" s="1"/>
  <c r="AH36" i="47" s="1"/>
  <c r="AI36" i="47" s="1"/>
  <c r="AJ36" i="47" s="1"/>
  <c r="AK36" i="47" s="1"/>
  <c r="AL36" i="47" s="1"/>
  <c r="AM36" i="47" s="1"/>
  <c r="AN36" i="47" s="1"/>
  <c r="AO36" i="47" s="1"/>
  <c r="AP36" i="47" s="1"/>
  <c r="AQ36" i="47" s="1"/>
  <c r="AR36" i="47" s="1"/>
  <c r="E36" i="47"/>
  <c r="D24" i="62" s="1"/>
  <c r="E30" i="47"/>
  <c r="G30" i="47" s="1"/>
  <c r="L31" i="47"/>
  <c r="F42" i="47"/>
  <c r="F36" i="47"/>
  <c r="H36" i="47" s="1"/>
  <c r="G36" i="47"/>
  <c r="F49" i="47"/>
  <c r="F46" i="47"/>
  <c r="H46" i="47" s="1"/>
  <c r="F38" i="47"/>
  <c r="H38" i="47" s="1"/>
  <c r="M40" i="47"/>
  <c r="H41" i="47"/>
  <c r="E32" i="62"/>
  <c r="G42" i="47"/>
  <c r="D34" i="62"/>
  <c r="H39" i="47"/>
  <c r="H35" i="47"/>
  <c r="AH30" i="47"/>
  <c r="AI30" i="47" s="1"/>
  <c r="AJ30" i="47" s="1"/>
  <c r="AK30" i="47" s="1"/>
  <c r="AL30" i="47" s="1"/>
  <c r="AM30" i="47" s="1"/>
  <c r="AN30" i="47" s="1"/>
  <c r="AO30" i="47" s="1"/>
  <c r="AP30" i="47" s="1"/>
  <c r="AQ30" i="47" s="1"/>
  <c r="AR30" i="47" s="1"/>
  <c r="M24" i="47"/>
  <c r="N32" i="47"/>
  <c r="N31" i="47" s="1"/>
  <c r="F32" i="62" l="1"/>
  <c r="E24" i="62"/>
  <c r="F30" i="47"/>
  <c r="H30" i="47" s="1"/>
  <c r="N40" i="47"/>
  <c r="H49" i="47"/>
  <c r="E36" i="62"/>
  <c r="H42" i="47"/>
  <c r="E34" i="62"/>
  <c r="O32" i="47"/>
  <c r="O31" i="47" s="1"/>
  <c r="N24" i="47"/>
  <c r="F24" i="62" l="1"/>
  <c r="F34" i="62"/>
  <c r="O40" i="47"/>
  <c r="F36" i="62"/>
  <c r="O24" i="47"/>
  <c r="P32" i="47"/>
  <c r="P31" i="47" l="1"/>
  <c r="P40" i="47"/>
  <c r="Q32" i="47"/>
  <c r="Q31" i="47" s="1"/>
  <c r="P24" i="47"/>
  <c r="Q40" i="47" l="1"/>
  <c r="Q24" i="47"/>
  <c r="R32" i="47"/>
  <c r="R31" i="47" s="1"/>
  <c r="R40" i="47" l="1"/>
  <c r="R24" i="47"/>
  <c r="S32" i="47"/>
  <c r="S31" i="47" s="1"/>
  <c r="S40" i="47" l="1"/>
  <c r="T32" i="47"/>
  <c r="T31" i="47" s="1"/>
  <c r="S24" i="47"/>
  <c r="T40" i="47" l="1"/>
  <c r="U32" i="47"/>
  <c r="T24" i="47"/>
  <c r="U31" i="47" l="1"/>
  <c r="U24" i="47"/>
  <c r="V32" i="47"/>
  <c r="V31" i="47" s="1"/>
  <c r="V40" i="47" l="1"/>
  <c r="V24" i="47"/>
  <c r="W32" i="47"/>
  <c r="W31" i="47" l="1"/>
  <c r="W40" i="47"/>
  <c r="X32" i="47"/>
  <c r="X31" i="47" s="1"/>
  <c r="W24" i="47"/>
  <c r="X40" i="47" l="1"/>
  <c r="X24" i="47"/>
  <c r="Y32" i="47"/>
  <c r="Y31" i="47" l="1"/>
  <c r="Y40" i="47"/>
  <c r="Z32" i="47"/>
  <c r="Z31" i="47" s="1"/>
  <c r="Y24" i="47"/>
  <c r="Z40" i="47" l="1"/>
  <c r="AA32" i="47"/>
  <c r="Z24" i="47"/>
  <c r="AA31" i="47" l="1"/>
  <c r="AA40" i="47"/>
  <c r="AA24" i="47"/>
  <c r="AB32" i="47"/>
  <c r="AB31" i="47" s="1"/>
  <c r="AB40" i="47" l="1"/>
  <c r="AC32" i="47"/>
  <c r="AB24" i="47"/>
  <c r="AC31" i="47" l="1"/>
  <c r="AC40" i="47"/>
  <c r="AC24" i="47"/>
  <c r="AD32" i="47"/>
  <c r="AD31" i="47" s="1"/>
  <c r="AD40" i="47" l="1"/>
  <c r="AE32" i="47"/>
  <c r="AE31" i="47" s="1"/>
  <c r="AD24" i="47"/>
  <c r="AE40" i="47" l="1"/>
  <c r="AE24" i="47"/>
  <c r="AF32" i="47"/>
  <c r="AF31" i="47" s="1"/>
  <c r="AF40" i="47" l="1"/>
  <c r="AG32" i="47"/>
  <c r="AF24" i="47"/>
  <c r="AG31" i="47" l="1"/>
  <c r="AG24" i="47"/>
  <c r="AH32" i="47"/>
  <c r="AH31" i="47" s="1"/>
  <c r="AH40" i="47" l="1"/>
  <c r="AH24" i="47"/>
  <c r="AI32" i="47"/>
  <c r="AI31" i="47" l="1"/>
  <c r="AI40" i="47"/>
  <c r="AJ32" i="47"/>
  <c r="AJ31" i="47" s="1"/>
  <c r="AI24" i="47"/>
  <c r="AJ40" i="47" l="1"/>
  <c r="AK32" i="47"/>
  <c r="AJ24" i="47"/>
  <c r="AK31" i="47" l="1"/>
  <c r="AK40" i="47"/>
  <c r="AK24" i="47"/>
  <c r="AL32" i="47"/>
  <c r="AL31" i="47" s="1"/>
  <c r="AL40" i="47" l="1"/>
  <c r="AM32" i="47"/>
  <c r="AL24" i="47"/>
  <c r="AM31" i="47" l="1"/>
  <c r="AM40" i="47"/>
  <c r="AM24" i="47"/>
  <c r="AN32" i="47"/>
  <c r="AN31" i="47" s="1"/>
  <c r="AN40" i="47" l="1"/>
  <c r="AO32" i="47"/>
  <c r="AN24" i="47"/>
  <c r="AO31" i="47" l="1"/>
  <c r="AO40" i="47"/>
  <c r="AO24" i="47"/>
  <c r="AP32" i="47"/>
  <c r="AP31" i="47" s="1"/>
  <c r="AP40" i="47" l="1"/>
  <c r="AQ32" i="47"/>
  <c r="AP24" i="47"/>
  <c r="AQ31" i="47" l="1"/>
  <c r="AR32" i="47"/>
  <c r="AQ40" i="47"/>
  <c r="AQ24" i="47"/>
  <c r="AR31" i="47" l="1"/>
  <c r="D32" i="47"/>
  <c r="E32" i="47"/>
  <c r="F32" i="47"/>
  <c r="AR40" i="47"/>
  <c r="AR24" i="47"/>
  <c r="H32" i="47" l="1"/>
  <c r="G32" i="47"/>
  <c r="D24" i="47"/>
  <c r="C20" i="62" s="1"/>
  <c r="E24" i="47"/>
  <c r="D20" i="62" s="1"/>
  <c r="F24" i="47"/>
  <c r="E20" i="62" s="1"/>
  <c r="D31" i="47"/>
  <c r="E31" i="47"/>
  <c r="F31" i="47"/>
  <c r="D40" i="47"/>
  <c r="E40" i="47"/>
  <c r="F40" i="47"/>
  <c r="AV24" i="47" l="1"/>
  <c r="G31" i="47"/>
  <c r="H31" i="47"/>
  <c r="C28" i="62"/>
  <c r="G40" i="47"/>
  <c r="D28" i="62"/>
  <c r="H40" i="47"/>
  <c r="E28" i="62"/>
  <c r="F20" i="62"/>
  <c r="H24" i="47"/>
  <c r="G24" i="47"/>
  <c r="D31" i="62" l="1"/>
  <c r="E31" i="62"/>
  <c r="C31" i="62"/>
  <c r="AV39" i="47"/>
  <c r="F28" i="62"/>
  <c r="F31" i="62" s="1"/>
  <c r="J27" i="47" l="1"/>
  <c r="D27" i="47" l="1"/>
  <c r="C16" i="62" s="1"/>
  <c r="K27" i="47"/>
  <c r="L27" i="47" s="1"/>
  <c r="M27" i="47" s="1"/>
  <c r="N27" i="47" s="1"/>
  <c r="O27" i="47" s="1"/>
  <c r="P27" i="47" s="1"/>
  <c r="Q27" i="47" s="1"/>
  <c r="R27" i="47" s="1"/>
  <c r="S27" i="47" s="1"/>
  <c r="T27" i="47" s="1"/>
  <c r="U27" i="47" s="1"/>
  <c r="AS6" i="33"/>
  <c r="A1" i="33"/>
  <c r="AR1" i="33"/>
  <c r="AM20" i="33"/>
  <c r="D30" i="54" s="1"/>
  <c r="C30" i="54" s="1"/>
  <c r="V27" i="47" l="1"/>
  <c r="E27" i="47"/>
  <c r="AV27" i="47"/>
  <c r="C19" i="62"/>
  <c r="W27" i="47"/>
  <c r="X27" i="47" s="1"/>
  <c r="Y27" i="47" s="1"/>
  <c r="Z27" i="47" s="1"/>
  <c r="AA27" i="47" s="1"/>
  <c r="AB27" i="47" s="1"/>
  <c r="AC27" i="47" s="1"/>
  <c r="AD27" i="47" s="1"/>
  <c r="AE27" i="47" s="1"/>
  <c r="AF27" i="47" s="1"/>
  <c r="AG27" i="47" s="1"/>
  <c r="AK11" i="52"/>
  <c r="AL11" i="52" s="1"/>
  <c r="AM11" i="52" s="1"/>
  <c r="AN11" i="52" s="1"/>
  <c r="Y11" i="52"/>
  <c r="Z11" i="52" s="1"/>
  <c r="M11" i="52"/>
  <c r="N11" i="52" s="1"/>
  <c r="O11" i="52" s="1"/>
  <c r="P11" i="52" s="1"/>
  <c r="Q11" i="52" s="1"/>
  <c r="R11" i="52" s="1"/>
  <c r="S11" i="52" s="1"/>
  <c r="T11" i="52" s="1"/>
  <c r="U11" i="52" s="1"/>
  <c r="V11" i="52" s="1"/>
  <c r="W11" i="52" s="1"/>
  <c r="X11" i="52" s="1"/>
  <c r="J11" i="52" s="1"/>
  <c r="AK10" i="52"/>
  <c r="Y10" i="52"/>
  <c r="M10" i="52"/>
  <c r="AK9" i="52"/>
  <c r="AL9" i="52" s="1"/>
  <c r="AM9" i="52" s="1"/>
  <c r="AN9" i="52" s="1"/>
  <c r="Y9" i="52"/>
  <c r="Z9" i="52" s="1"/>
  <c r="M9" i="52"/>
  <c r="N9" i="52" s="1"/>
  <c r="O9" i="52" s="1"/>
  <c r="P9" i="52" s="1"/>
  <c r="Q9" i="52" s="1"/>
  <c r="R9" i="52" s="1"/>
  <c r="S9" i="52" s="1"/>
  <c r="T9" i="52" s="1"/>
  <c r="U9" i="52" s="1"/>
  <c r="V9" i="52" s="1"/>
  <c r="W9" i="52" s="1"/>
  <c r="X9" i="52" s="1"/>
  <c r="J9" i="52" s="1"/>
  <c r="AK8" i="52"/>
  <c r="Y8" i="52"/>
  <c r="M8" i="52"/>
  <c r="AK7" i="52"/>
  <c r="AL7" i="52" s="1"/>
  <c r="AM7" i="52" s="1"/>
  <c r="AN7" i="52" s="1"/>
  <c r="AO7" i="52" s="1"/>
  <c r="AP7" i="52" s="1"/>
  <c r="AQ7" i="52" s="1"/>
  <c r="AR7" i="52" s="1"/>
  <c r="AS7" i="52" s="1"/>
  <c r="AT7" i="52" s="1"/>
  <c r="AU7" i="52" s="1"/>
  <c r="AV7" i="52" s="1"/>
  <c r="Y7" i="52"/>
  <c r="Z7" i="52" s="1"/>
  <c r="M7" i="52"/>
  <c r="N7" i="52" s="1"/>
  <c r="O7" i="52" s="1"/>
  <c r="P7" i="52" s="1"/>
  <c r="Q7" i="52" s="1"/>
  <c r="R7" i="52" s="1"/>
  <c r="AK6" i="52"/>
  <c r="Y6" i="52"/>
  <c r="Z6" i="52" s="1"/>
  <c r="AA6" i="52" s="1"/>
  <c r="AB6" i="52" s="1"/>
  <c r="AC6" i="52" s="1"/>
  <c r="AD6" i="52" s="1"/>
  <c r="AE6" i="52" s="1"/>
  <c r="AF6" i="52" s="1"/>
  <c r="AG6" i="52" s="1"/>
  <c r="AH6" i="52" s="1"/>
  <c r="AI6" i="52" s="1"/>
  <c r="AJ6" i="52" s="1"/>
  <c r="M6" i="52"/>
  <c r="M12" i="52" s="1"/>
  <c r="AK5" i="52"/>
  <c r="AL5" i="52" s="1"/>
  <c r="Y5" i="52"/>
  <c r="Z5" i="52" s="1"/>
  <c r="N5" i="52"/>
  <c r="I48" i="51"/>
  <c r="I46" i="51"/>
  <c r="I45" i="51"/>
  <c r="I44" i="51"/>
  <c r="I43" i="51"/>
  <c r="I41" i="51"/>
  <c r="I40" i="51"/>
  <c r="I39" i="51"/>
  <c r="I38" i="51"/>
  <c r="I37" i="51"/>
  <c r="I36" i="51"/>
  <c r="I35" i="51"/>
  <c r="I34" i="51"/>
  <c r="I33" i="51"/>
  <c r="I32" i="51"/>
  <c r="J32" i="51" s="1"/>
  <c r="K32" i="51" s="1"/>
  <c r="L32" i="51" s="1"/>
  <c r="M32" i="51" s="1"/>
  <c r="N32" i="51" s="1"/>
  <c r="O32" i="51" s="1"/>
  <c r="P32" i="51" s="1"/>
  <c r="Q32" i="51" s="1"/>
  <c r="R32" i="51" s="1"/>
  <c r="S32" i="51" s="1"/>
  <c r="T32" i="51" s="1"/>
  <c r="U32" i="51" s="1"/>
  <c r="I31" i="51"/>
  <c r="J31" i="51" s="1"/>
  <c r="K31" i="51" s="1"/>
  <c r="F28" i="51"/>
  <c r="E28" i="51"/>
  <c r="D28" i="51"/>
  <c r="F27" i="51"/>
  <c r="E27" i="51"/>
  <c r="D27" i="51"/>
  <c r="I24" i="51"/>
  <c r="J24" i="51" s="1"/>
  <c r="K24" i="51" s="1"/>
  <c r="I23" i="51"/>
  <c r="F14" i="51"/>
  <c r="E14" i="51"/>
  <c r="D14" i="51"/>
  <c r="F9" i="51"/>
  <c r="E9" i="51"/>
  <c r="D9" i="51"/>
  <c r="C5" i="51"/>
  <c r="B5" i="51"/>
  <c r="AQ13" i="50"/>
  <c r="AP13" i="50"/>
  <c r="AO13" i="50"/>
  <c r="AN13" i="50"/>
  <c r="AN22" i="50" s="1"/>
  <c r="AM13" i="50"/>
  <c r="AL13" i="50"/>
  <c r="AK13" i="50"/>
  <c r="AJ13" i="50"/>
  <c r="AI13" i="50"/>
  <c r="AH13" i="50"/>
  <c r="AG13" i="50"/>
  <c r="AF13" i="50"/>
  <c r="AE13" i="50"/>
  <c r="AD13" i="50"/>
  <c r="AC13" i="50"/>
  <c r="AB13" i="50"/>
  <c r="AA13" i="50"/>
  <c r="Z13" i="50"/>
  <c r="Y13" i="50"/>
  <c r="X13" i="50"/>
  <c r="W13" i="50"/>
  <c r="V13" i="50"/>
  <c r="U13" i="50"/>
  <c r="T13" i="50"/>
  <c r="S13" i="50"/>
  <c r="R13" i="50"/>
  <c r="Q13" i="50"/>
  <c r="P13" i="50"/>
  <c r="O13" i="50"/>
  <c r="N13" i="50"/>
  <c r="M13" i="50"/>
  <c r="L13" i="50"/>
  <c r="K13" i="50"/>
  <c r="J13" i="50"/>
  <c r="I13" i="50"/>
  <c r="H13" i="50"/>
  <c r="AQ12" i="50"/>
  <c r="AP12" i="50"/>
  <c r="AO12" i="50"/>
  <c r="AN12" i="50"/>
  <c r="AM12" i="50"/>
  <c r="AL12" i="50"/>
  <c r="AK12" i="50"/>
  <c r="AJ12" i="50"/>
  <c r="AI12" i="50"/>
  <c r="AH12" i="50"/>
  <c r="AG12" i="50"/>
  <c r="AF12" i="50"/>
  <c r="AE12" i="50"/>
  <c r="AD12" i="50"/>
  <c r="AC12" i="50"/>
  <c r="AB12" i="50"/>
  <c r="AA12" i="50"/>
  <c r="Z12" i="50"/>
  <c r="Y12" i="50"/>
  <c r="X12" i="50"/>
  <c r="W12" i="50"/>
  <c r="V12" i="50"/>
  <c r="U12" i="50"/>
  <c r="T12" i="50"/>
  <c r="S12" i="50"/>
  <c r="R12" i="50"/>
  <c r="Q12" i="50"/>
  <c r="P12" i="50"/>
  <c r="O12" i="50"/>
  <c r="N12" i="50"/>
  <c r="M12" i="50"/>
  <c r="L12" i="50"/>
  <c r="K12" i="50"/>
  <c r="J12" i="50"/>
  <c r="I12" i="50"/>
  <c r="H12" i="50"/>
  <c r="AQ11" i="50"/>
  <c r="AP11" i="50"/>
  <c r="AO11" i="50"/>
  <c r="AN11" i="50"/>
  <c r="AM11" i="50"/>
  <c r="AL11" i="50"/>
  <c r="AK11" i="50"/>
  <c r="AJ11" i="50"/>
  <c r="AI11" i="50"/>
  <c r="AH11" i="50"/>
  <c r="AG11" i="50"/>
  <c r="AF11" i="50"/>
  <c r="AE11" i="50"/>
  <c r="AD11" i="50"/>
  <c r="AC11" i="50"/>
  <c r="AB11" i="50"/>
  <c r="AA11" i="50"/>
  <c r="Z11" i="50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AQ9" i="50"/>
  <c r="AP9" i="50"/>
  <c r="AO9" i="50"/>
  <c r="AN9" i="50"/>
  <c r="AM9" i="50"/>
  <c r="AL9" i="50"/>
  <c r="AK9" i="50"/>
  <c r="AJ9" i="50"/>
  <c r="AI9" i="50"/>
  <c r="AH9" i="50"/>
  <c r="AG9" i="50"/>
  <c r="AF9" i="50"/>
  <c r="AE9" i="50"/>
  <c r="AD9" i="50"/>
  <c r="AC9" i="50"/>
  <c r="AB9" i="50"/>
  <c r="AA9" i="50"/>
  <c r="Z9" i="50"/>
  <c r="Y9" i="50"/>
  <c r="X9" i="50"/>
  <c r="W9" i="50"/>
  <c r="V9" i="50"/>
  <c r="U9" i="50"/>
  <c r="T9" i="50"/>
  <c r="S9" i="50"/>
  <c r="R9" i="50"/>
  <c r="Q9" i="50"/>
  <c r="P9" i="50"/>
  <c r="O9" i="50"/>
  <c r="N9" i="50"/>
  <c r="M9" i="50"/>
  <c r="L9" i="50"/>
  <c r="K9" i="50"/>
  <c r="J9" i="50"/>
  <c r="I9" i="50"/>
  <c r="H9" i="50"/>
  <c r="E8" i="50"/>
  <c r="AN7" i="50"/>
  <c r="AS17" i="52" s="1"/>
  <c r="AJ14" i="49"/>
  <c r="X14" i="49"/>
  <c r="L14" i="49"/>
  <c r="AJ11" i="49"/>
  <c r="X11" i="49"/>
  <c r="L11" i="49"/>
  <c r="L53" i="49" s="1"/>
  <c r="AJ5" i="49"/>
  <c r="AJ47" i="49" s="1"/>
  <c r="X5" i="49"/>
  <c r="X47" i="49" s="1"/>
  <c r="AK11" i="49" l="1"/>
  <c r="AK53" i="49" s="1"/>
  <c r="AJ53" i="49"/>
  <c r="Y11" i="49"/>
  <c r="Y53" i="49" s="1"/>
  <c r="X53" i="49"/>
  <c r="Y14" i="49"/>
  <c r="Y56" i="49" s="1"/>
  <c r="X56" i="49"/>
  <c r="AK14" i="49"/>
  <c r="AK56" i="49" s="1"/>
  <c r="AJ56" i="49"/>
  <c r="AJ46" i="49" s="1"/>
  <c r="M14" i="49"/>
  <c r="M56" i="49" s="1"/>
  <c r="L56" i="49"/>
  <c r="AH27" i="47"/>
  <c r="J33" i="51"/>
  <c r="K33" i="51" s="1"/>
  <c r="J34" i="51"/>
  <c r="K34" i="51" s="1"/>
  <c r="L34" i="51" s="1"/>
  <c r="M34" i="51" s="1"/>
  <c r="N34" i="51" s="1"/>
  <c r="O34" i="51" s="1"/>
  <c r="P34" i="51" s="1"/>
  <c r="Q34" i="51" s="1"/>
  <c r="R34" i="51" s="1"/>
  <c r="S34" i="51" s="1"/>
  <c r="T34" i="51" s="1"/>
  <c r="U34" i="51" s="1"/>
  <c r="D34" i="51"/>
  <c r="J43" i="51"/>
  <c r="K43" i="51" s="1"/>
  <c r="J41" i="51"/>
  <c r="K41" i="51" s="1"/>
  <c r="J35" i="51"/>
  <c r="K35" i="51" s="1"/>
  <c r="J44" i="51"/>
  <c r="K44" i="51" s="1"/>
  <c r="L44" i="51" s="1"/>
  <c r="M44" i="51" s="1"/>
  <c r="N44" i="51" s="1"/>
  <c r="O44" i="51" s="1"/>
  <c r="P44" i="51" s="1"/>
  <c r="Q44" i="51" s="1"/>
  <c r="R44" i="51" s="1"/>
  <c r="S44" i="51" s="1"/>
  <c r="T44" i="51" s="1"/>
  <c r="U44" i="51" s="1"/>
  <c r="J37" i="51"/>
  <c r="K37" i="51" s="1"/>
  <c r="J46" i="51"/>
  <c r="K46" i="51" s="1"/>
  <c r="L46" i="51" s="1"/>
  <c r="J48" i="51"/>
  <c r="K48" i="51" s="1"/>
  <c r="L48" i="51" s="1"/>
  <c r="J36" i="51"/>
  <c r="K36" i="51" s="1"/>
  <c r="L36" i="51" s="1"/>
  <c r="M36" i="51" s="1"/>
  <c r="N36" i="51" s="1"/>
  <c r="O36" i="51" s="1"/>
  <c r="P36" i="51" s="1"/>
  <c r="Q36" i="51" s="1"/>
  <c r="R36" i="51" s="1"/>
  <c r="S36" i="51" s="1"/>
  <c r="T36" i="51" s="1"/>
  <c r="U36" i="51" s="1"/>
  <c r="D36" i="51"/>
  <c r="J39" i="51"/>
  <c r="K39" i="51" s="1"/>
  <c r="L39" i="51" s="1"/>
  <c r="M39" i="51" s="1"/>
  <c r="N39" i="51" s="1"/>
  <c r="O39" i="51" s="1"/>
  <c r="P39" i="51" s="1"/>
  <c r="Q39" i="51" s="1"/>
  <c r="R39" i="51" s="1"/>
  <c r="S39" i="51" s="1"/>
  <c r="T39" i="51" s="1"/>
  <c r="U39" i="51" s="1"/>
  <c r="D39" i="51"/>
  <c r="R18" i="50"/>
  <c r="W19" i="52"/>
  <c r="AP18" i="50"/>
  <c r="AU19" i="52"/>
  <c r="V20" i="50"/>
  <c r="AA21" i="52"/>
  <c r="AL20" i="50"/>
  <c r="AQ21" i="52" s="1"/>
  <c r="R21" i="50"/>
  <c r="W20" i="52"/>
  <c r="AH21" i="50"/>
  <c r="AM20" i="52"/>
  <c r="K18" i="50"/>
  <c r="P19" i="52"/>
  <c r="S18" i="50"/>
  <c r="X19" i="52" s="1"/>
  <c r="AA18" i="50"/>
  <c r="AF19" i="52"/>
  <c r="AI18" i="50"/>
  <c r="AN19" i="52"/>
  <c r="AQ18" i="50"/>
  <c r="AV19" i="52"/>
  <c r="O20" i="50"/>
  <c r="P49" i="51" s="1"/>
  <c r="W20" i="50"/>
  <c r="AB21" i="52"/>
  <c r="AE20" i="50"/>
  <c r="AJ21" i="52"/>
  <c r="AM20" i="50"/>
  <c r="AR21" i="52"/>
  <c r="K21" i="50"/>
  <c r="P20" i="52" s="1"/>
  <c r="S21" i="50"/>
  <c r="X20" i="52"/>
  <c r="AA21" i="50"/>
  <c r="AF20" i="52"/>
  <c r="AI21" i="50"/>
  <c r="AN20" i="52"/>
  <c r="AQ21" i="50"/>
  <c r="AV20" i="52" s="1"/>
  <c r="H20" i="50"/>
  <c r="M21" i="52" s="1"/>
  <c r="X20" i="50"/>
  <c r="AC21" i="52" s="1"/>
  <c r="AF20" i="50"/>
  <c r="AK21" i="52"/>
  <c r="AN20" i="50"/>
  <c r="AS21" i="52" s="1"/>
  <c r="L21" i="50"/>
  <c r="Q20" i="52" s="1"/>
  <c r="T21" i="50"/>
  <c r="Y20" i="52" s="1"/>
  <c r="AB21" i="50"/>
  <c r="AG20" i="52"/>
  <c r="AJ21" i="50"/>
  <c r="AO20" i="52" s="1"/>
  <c r="AC18" i="50"/>
  <c r="AH19" i="52"/>
  <c r="AK18" i="50"/>
  <c r="AP19" i="52"/>
  <c r="I20" i="50"/>
  <c r="N21" i="52" s="1"/>
  <c r="Q20" i="50"/>
  <c r="V21" i="52"/>
  <c r="Y20" i="50"/>
  <c r="AD21" i="52"/>
  <c r="AG20" i="50"/>
  <c r="AL21" i="52"/>
  <c r="AO20" i="50"/>
  <c r="AT21" i="52" s="1"/>
  <c r="M21" i="50"/>
  <c r="R20" i="52"/>
  <c r="U21" i="50"/>
  <c r="Z20" i="52"/>
  <c r="AC21" i="50"/>
  <c r="AH20" i="52"/>
  <c r="AK21" i="50"/>
  <c r="AP20" i="52" s="1"/>
  <c r="N18" i="50"/>
  <c r="S19" i="52"/>
  <c r="V18" i="50"/>
  <c r="AA19" i="52"/>
  <c r="AD18" i="50"/>
  <c r="AI19" i="52"/>
  <c r="AL18" i="50"/>
  <c r="AM49" i="51" s="1"/>
  <c r="J20" i="50"/>
  <c r="O21" i="52"/>
  <c r="R20" i="50"/>
  <c r="W21" i="52"/>
  <c r="Z20" i="50"/>
  <c r="AE21" i="52"/>
  <c r="AH20" i="50"/>
  <c r="AM21" i="52" s="1"/>
  <c r="AP20" i="50"/>
  <c r="AU21" i="52"/>
  <c r="N21" i="50"/>
  <c r="S20" i="52"/>
  <c r="V21" i="50"/>
  <c r="AA20" i="52"/>
  <c r="AD21" i="50"/>
  <c r="AI20" i="52" s="1"/>
  <c r="AL21" i="50"/>
  <c r="AQ20" i="52"/>
  <c r="M18" i="50"/>
  <c r="R19" i="52" s="1"/>
  <c r="O18" i="50"/>
  <c r="T19" i="52"/>
  <c r="W18" i="50"/>
  <c r="AB19" i="52" s="1"/>
  <c r="AE18" i="50"/>
  <c r="AJ19" i="52" s="1"/>
  <c r="AM18" i="50"/>
  <c r="AR19" i="52" s="1"/>
  <c r="K20" i="50"/>
  <c r="P21" i="52"/>
  <c r="S20" i="50"/>
  <c r="X21" i="52" s="1"/>
  <c r="AA20" i="50"/>
  <c r="AF21" i="52" s="1"/>
  <c r="AI20" i="50"/>
  <c r="AN21" i="52" s="1"/>
  <c r="AQ20" i="50"/>
  <c r="AV21" i="52"/>
  <c r="O21" i="50"/>
  <c r="T20" i="52" s="1"/>
  <c r="W21" i="50"/>
  <c r="AB20" i="52" s="1"/>
  <c r="AE21" i="50"/>
  <c r="AJ20" i="52" s="1"/>
  <c r="AM21" i="50"/>
  <c r="AR20" i="52"/>
  <c r="Q19" i="52"/>
  <c r="U18" i="50"/>
  <c r="Z19" i="52"/>
  <c r="H18" i="50"/>
  <c r="M19" i="52"/>
  <c r="P18" i="50"/>
  <c r="U19" i="52"/>
  <c r="X18" i="50"/>
  <c r="Y49" i="51" s="1"/>
  <c r="AF18" i="50"/>
  <c r="AK19" i="52"/>
  <c r="AN18" i="50"/>
  <c r="AO49" i="51" s="1"/>
  <c r="AS19" i="52"/>
  <c r="L20" i="50"/>
  <c r="Q21" i="52"/>
  <c r="T20" i="50"/>
  <c r="Y21" i="52" s="1"/>
  <c r="AB20" i="50"/>
  <c r="AG21" i="52"/>
  <c r="AJ20" i="50"/>
  <c r="AO21" i="52"/>
  <c r="H21" i="50"/>
  <c r="M20" i="52"/>
  <c r="P21" i="50"/>
  <c r="U20" i="52" s="1"/>
  <c r="X21" i="50"/>
  <c r="AC20" i="52"/>
  <c r="AF21" i="50"/>
  <c r="AK20" i="52"/>
  <c r="AN21" i="50"/>
  <c r="AS20" i="52"/>
  <c r="J18" i="50"/>
  <c r="O19" i="52" s="1"/>
  <c r="Z18" i="50"/>
  <c r="AE19" i="52"/>
  <c r="AH18" i="50"/>
  <c r="AM19" i="52"/>
  <c r="N20" i="50"/>
  <c r="S21" i="52"/>
  <c r="AD20" i="50"/>
  <c r="AI21" i="52" s="1"/>
  <c r="J21" i="50"/>
  <c r="O20" i="52"/>
  <c r="Z21" i="50"/>
  <c r="AE20" i="52"/>
  <c r="AP21" i="50"/>
  <c r="AU20" i="52"/>
  <c r="P20" i="50"/>
  <c r="Q49" i="51" s="1"/>
  <c r="I18" i="50"/>
  <c r="N19" i="52"/>
  <c r="Q18" i="50"/>
  <c r="V19" i="52"/>
  <c r="Y18" i="50"/>
  <c r="AD19" i="52"/>
  <c r="AG18" i="50"/>
  <c r="AL19" i="52" s="1"/>
  <c r="AO18" i="50"/>
  <c r="AT19" i="52"/>
  <c r="M20" i="50"/>
  <c r="R21" i="52"/>
  <c r="U20" i="50"/>
  <c r="Z21" i="52"/>
  <c r="AC20" i="50"/>
  <c r="AH21" i="52" s="1"/>
  <c r="AK20" i="50"/>
  <c r="AP21" i="52"/>
  <c r="I21" i="50"/>
  <c r="N20" i="52"/>
  <c r="Q21" i="50"/>
  <c r="V20" i="52"/>
  <c r="Y21" i="50"/>
  <c r="AD20" i="52" s="1"/>
  <c r="AG21" i="50"/>
  <c r="AL20" i="52"/>
  <c r="AO21" i="50"/>
  <c r="AT20" i="52"/>
  <c r="G27" i="47"/>
  <c r="D16" i="62"/>
  <c r="I29" i="51"/>
  <c r="C26" i="51"/>
  <c r="AK12" i="52"/>
  <c r="Z8" i="52"/>
  <c r="Y12" i="52"/>
  <c r="U18" i="51" s="1"/>
  <c r="M7" i="50"/>
  <c r="R17" i="52" s="1"/>
  <c r="M22" i="50"/>
  <c r="U7" i="50"/>
  <c r="Z17" i="52" s="1"/>
  <c r="U22" i="50"/>
  <c r="V49" i="51" s="1"/>
  <c r="AC7" i="50"/>
  <c r="AH17" i="52" s="1"/>
  <c r="AC22" i="50"/>
  <c r="AK7" i="50"/>
  <c r="AP17" i="52" s="1"/>
  <c r="AK22" i="50"/>
  <c r="N7" i="50"/>
  <c r="S17" i="52" s="1"/>
  <c r="N22" i="50"/>
  <c r="AD7" i="50"/>
  <c r="AI17" i="52" s="1"/>
  <c r="AD22" i="50"/>
  <c r="AE49" i="51" s="1"/>
  <c r="AL7" i="50"/>
  <c r="AQ17" i="52" s="1"/>
  <c r="AL22" i="50"/>
  <c r="O7" i="50"/>
  <c r="T17" i="52" s="1"/>
  <c r="O22" i="50"/>
  <c r="AE7" i="50"/>
  <c r="AJ17" i="52" s="1"/>
  <c r="AE22" i="50"/>
  <c r="AM7" i="50"/>
  <c r="AR17" i="52" s="1"/>
  <c r="AM22" i="50"/>
  <c r="AN49" i="51" s="1"/>
  <c r="L6" i="50"/>
  <c r="L18" i="50"/>
  <c r="AB6" i="50"/>
  <c r="AB18" i="50"/>
  <c r="AG19" i="52" s="1"/>
  <c r="AJ6" i="50"/>
  <c r="AJ18" i="50"/>
  <c r="AO19" i="52" s="1"/>
  <c r="H7" i="50"/>
  <c r="M17" i="52" s="1"/>
  <c r="H22" i="50"/>
  <c r="I49" i="51" s="1"/>
  <c r="P7" i="50"/>
  <c r="U17" i="52" s="1"/>
  <c r="P22" i="50"/>
  <c r="AF7" i="50"/>
  <c r="AK17" i="52" s="1"/>
  <c r="AF22" i="50"/>
  <c r="AG49" i="51" s="1"/>
  <c r="I7" i="50"/>
  <c r="N17" i="52" s="1"/>
  <c r="I22" i="50"/>
  <c r="Q7" i="50"/>
  <c r="V17" i="52" s="1"/>
  <c r="Q22" i="50"/>
  <c r="R49" i="51" s="1"/>
  <c r="AG7" i="50"/>
  <c r="AL17" i="52" s="1"/>
  <c r="AG22" i="50"/>
  <c r="AO7" i="50"/>
  <c r="AT17" i="52" s="1"/>
  <c r="AO22" i="50"/>
  <c r="J7" i="50"/>
  <c r="O17" i="52" s="1"/>
  <c r="J22" i="50"/>
  <c r="R7" i="50"/>
  <c r="W17" i="52" s="1"/>
  <c r="R22" i="50"/>
  <c r="S49" i="51" s="1"/>
  <c r="AH7" i="50"/>
  <c r="AM17" i="52" s="1"/>
  <c r="AH22" i="50"/>
  <c r="AP7" i="50"/>
  <c r="AU17" i="52" s="1"/>
  <c r="AP22" i="50"/>
  <c r="AQ49" i="51" s="1"/>
  <c r="O49" i="51"/>
  <c r="AF49" i="51"/>
  <c r="K7" i="50"/>
  <c r="P17" i="52" s="1"/>
  <c r="K22" i="50"/>
  <c r="S7" i="50"/>
  <c r="X17" i="52" s="1"/>
  <c r="S22" i="50"/>
  <c r="AA7" i="50"/>
  <c r="AF17" i="52" s="1"/>
  <c r="AA22" i="50"/>
  <c r="AB49" i="51" s="1"/>
  <c r="AI7" i="50"/>
  <c r="AN17" i="52" s="1"/>
  <c r="AI22" i="50"/>
  <c r="AJ49" i="51" s="1"/>
  <c r="AQ7" i="50"/>
  <c r="AV17" i="52" s="1"/>
  <c r="AQ22" i="50"/>
  <c r="N49" i="51"/>
  <c r="L7" i="50"/>
  <c r="L22" i="50"/>
  <c r="AB7" i="50"/>
  <c r="AG17" i="52" s="1"/>
  <c r="AB22" i="50"/>
  <c r="AJ7" i="50"/>
  <c r="AO17" i="52" s="1"/>
  <c r="AJ22" i="50"/>
  <c r="AJ40" i="49"/>
  <c r="AJ42" i="49" s="1"/>
  <c r="Y7" i="50"/>
  <c r="AD17" i="52" s="1"/>
  <c r="Y22" i="50"/>
  <c r="Z7" i="50"/>
  <c r="AE17" i="52" s="1"/>
  <c r="Z22" i="50"/>
  <c r="AA49" i="51" s="1"/>
  <c r="X7" i="50"/>
  <c r="AC17" i="52" s="1"/>
  <c r="X22" i="50"/>
  <c r="W7" i="50"/>
  <c r="AB17" i="52" s="1"/>
  <c r="W22" i="50"/>
  <c r="X49" i="51" s="1"/>
  <c r="V7" i="50"/>
  <c r="AA17" i="52" s="1"/>
  <c r="V22" i="50"/>
  <c r="W49" i="51" s="1"/>
  <c r="T6" i="50"/>
  <c r="D9" i="50"/>
  <c r="T18" i="50"/>
  <c r="Y19" i="52" s="1"/>
  <c r="T7" i="50"/>
  <c r="Y17" i="52" s="1"/>
  <c r="T22" i="50"/>
  <c r="O6" i="50"/>
  <c r="I6" i="50"/>
  <c r="Q6" i="50"/>
  <c r="Y6" i="50"/>
  <c r="AG6" i="50"/>
  <c r="AO6" i="50"/>
  <c r="AI27" i="47"/>
  <c r="AJ27" i="47" s="1"/>
  <c r="AK27" i="47" s="1"/>
  <c r="AL27" i="47" s="1"/>
  <c r="AM27" i="47" s="1"/>
  <c r="AN27" i="47" s="1"/>
  <c r="AO27" i="47" s="1"/>
  <c r="AP27" i="47" s="1"/>
  <c r="AQ27" i="47" s="1"/>
  <c r="AR27" i="47" s="1"/>
  <c r="M11" i="49"/>
  <c r="K6" i="50"/>
  <c r="S6" i="50"/>
  <c r="AA6" i="50"/>
  <c r="AI6" i="50"/>
  <c r="AQ6" i="50"/>
  <c r="H6" i="50"/>
  <c r="P6" i="50"/>
  <c r="X6" i="50"/>
  <c r="AN6" i="50"/>
  <c r="M6" i="50"/>
  <c r="AC6" i="50"/>
  <c r="W6" i="50"/>
  <c r="AE6" i="50"/>
  <c r="AM6" i="50"/>
  <c r="L5" i="50"/>
  <c r="M8" i="51" s="1"/>
  <c r="AX9" i="33" s="1"/>
  <c r="AB5" i="50"/>
  <c r="AC8" i="51" s="1"/>
  <c r="BN9" i="33" s="1"/>
  <c r="T5" i="50"/>
  <c r="U8" i="51" s="1"/>
  <c r="BF9" i="33" s="1"/>
  <c r="I18" i="51"/>
  <c r="AK6" i="50"/>
  <c r="U6" i="50"/>
  <c r="J5" i="50"/>
  <c r="K8" i="51" s="1"/>
  <c r="AV9" i="33" s="1"/>
  <c r="N6" i="50"/>
  <c r="R5" i="50"/>
  <c r="S8" i="51" s="1"/>
  <c r="BD9" i="33" s="1"/>
  <c r="Z5" i="50"/>
  <c r="AA8" i="51" s="1"/>
  <c r="BL9" i="33" s="1"/>
  <c r="AD6" i="50"/>
  <c r="AH5" i="50"/>
  <c r="AI8" i="51" s="1"/>
  <c r="BT9" i="33" s="1"/>
  <c r="AP5" i="50"/>
  <c r="AQ8" i="51" s="1"/>
  <c r="CB9" i="33" s="1"/>
  <c r="G28" i="51"/>
  <c r="E9" i="50"/>
  <c r="V6" i="50"/>
  <c r="AL6" i="50"/>
  <c r="D11" i="50"/>
  <c r="G27" i="51"/>
  <c r="AJ5" i="50"/>
  <c r="AK8" i="51" s="1"/>
  <c r="BV9" i="33" s="1"/>
  <c r="I30" i="51"/>
  <c r="C9" i="50"/>
  <c r="E12" i="50"/>
  <c r="K5" i="50"/>
  <c r="L8" i="51" s="1"/>
  <c r="AW9" i="33" s="1"/>
  <c r="O5" i="50"/>
  <c r="P8" i="51" s="1"/>
  <c r="BA9" i="33" s="1"/>
  <c r="S5" i="50"/>
  <c r="T8" i="51" s="1"/>
  <c r="BE9" i="33" s="1"/>
  <c r="AA5" i="50"/>
  <c r="AB8" i="51" s="1"/>
  <c r="BM9" i="33" s="1"/>
  <c r="AE5" i="50"/>
  <c r="AF8" i="51" s="1"/>
  <c r="BQ9" i="33" s="1"/>
  <c r="AI5" i="50"/>
  <c r="AJ8" i="51" s="1"/>
  <c r="BU9" i="33" s="1"/>
  <c r="AM5" i="50"/>
  <c r="AN8" i="51" s="1"/>
  <c r="BY9" i="33" s="1"/>
  <c r="AQ5" i="50"/>
  <c r="AR8" i="51" s="1"/>
  <c r="CC9" i="33" s="1"/>
  <c r="H27" i="51"/>
  <c r="H5" i="50"/>
  <c r="I8" i="51" s="1"/>
  <c r="AT9" i="33" s="1"/>
  <c r="P5" i="50"/>
  <c r="Q8" i="51" s="1"/>
  <c r="BB9" i="33" s="1"/>
  <c r="X5" i="50"/>
  <c r="Y8" i="51" s="1"/>
  <c r="BJ9" i="33" s="1"/>
  <c r="AF5" i="50"/>
  <c r="AG8" i="51" s="1"/>
  <c r="BR9" i="33" s="1"/>
  <c r="AN5" i="50"/>
  <c r="AO8" i="51" s="1"/>
  <c r="BZ9" i="33" s="1"/>
  <c r="C13" i="50"/>
  <c r="D13" i="50"/>
  <c r="E13" i="50"/>
  <c r="H9" i="51"/>
  <c r="AG18" i="51"/>
  <c r="N5" i="50"/>
  <c r="O8" i="51" s="1"/>
  <c r="AZ9" i="33" s="1"/>
  <c r="V5" i="50"/>
  <c r="W8" i="51" s="1"/>
  <c r="BH9" i="33" s="1"/>
  <c r="AD5" i="50"/>
  <c r="AE8" i="51" s="1"/>
  <c r="BP9" i="33" s="1"/>
  <c r="AL5" i="50"/>
  <c r="AM8" i="51" s="1"/>
  <c r="BX9" i="33" s="1"/>
  <c r="J6" i="50"/>
  <c r="R6" i="50"/>
  <c r="Z6" i="50"/>
  <c r="AH6" i="50"/>
  <c r="AP6" i="50"/>
  <c r="W5" i="50"/>
  <c r="X8" i="51" s="1"/>
  <c r="BI9" i="33" s="1"/>
  <c r="G9" i="51"/>
  <c r="H28" i="51"/>
  <c r="AF6" i="50"/>
  <c r="C12" i="50"/>
  <c r="M5" i="50"/>
  <c r="N8" i="51" s="1"/>
  <c r="AY9" i="33" s="1"/>
  <c r="Q5" i="50"/>
  <c r="R8" i="51" s="1"/>
  <c r="BC9" i="33" s="1"/>
  <c r="D12" i="50"/>
  <c r="Y5" i="50"/>
  <c r="Z8" i="51" s="1"/>
  <c r="BK9" i="33" s="1"/>
  <c r="AC5" i="50"/>
  <c r="AD8" i="51" s="1"/>
  <c r="BO9" i="33" s="1"/>
  <c r="AG5" i="50"/>
  <c r="AH8" i="51" s="1"/>
  <c r="BS9" i="33" s="1"/>
  <c r="AK5" i="50"/>
  <c r="AL8" i="51" s="1"/>
  <c r="BW9" i="33" s="1"/>
  <c r="AO5" i="50"/>
  <c r="AP8" i="51" s="1"/>
  <c r="CA9" i="33" s="1"/>
  <c r="I5" i="50"/>
  <c r="J8" i="51" s="1"/>
  <c r="AU9" i="33" s="1"/>
  <c r="U5" i="50"/>
  <c r="V8" i="51" s="1"/>
  <c r="BG9" i="33" s="1"/>
  <c r="E11" i="50"/>
  <c r="Z11" i="49"/>
  <c r="Z14" i="49"/>
  <c r="AL11" i="49"/>
  <c r="N14" i="49"/>
  <c r="AL14" i="49"/>
  <c r="M5" i="49"/>
  <c r="M47" i="49" s="1"/>
  <c r="Y5" i="49"/>
  <c r="AK5" i="49"/>
  <c r="J23" i="51"/>
  <c r="I22" i="51"/>
  <c r="V32" i="51"/>
  <c r="W32" i="51" s="1"/>
  <c r="X32" i="51" s="1"/>
  <c r="Y32" i="51" s="1"/>
  <c r="Z32" i="51" s="1"/>
  <c r="AA32" i="51" s="1"/>
  <c r="AB32" i="51" s="1"/>
  <c r="AC32" i="51" s="1"/>
  <c r="AD32" i="51" s="1"/>
  <c r="AE32" i="51" s="1"/>
  <c r="AF32" i="51" s="1"/>
  <c r="AG32" i="51" s="1"/>
  <c r="L33" i="51"/>
  <c r="M33" i="51" s="1"/>
  <c r="N33" i="51" s="1"/>
  <c r="O33" i="51" s="1"/>
  <c r="P33" i="51" s="1"/>
  <c r="Q33" i="51" s="1"/>
  <c r="R33" i="51" s="1"/>
  <c r="S33" i="51" s="1"/>
  <c r="T33" i="51" s="1"/>
  <c r="U33" i="51" s="1"/>
  <c r="V36" i="51"/>
  <c r="W36" i="51" s="1"/>
  <c r="X36" i="51" s="1"/>
  <c r="Y36" i="51" s="1"/>
  <c r="Z36" i="51" s="1"/>
  <c r="AA36" i="51" s="1"/>
  <c r="AB36" i="51" s="1"/>
  <c r="AC36" i="51" s="1"/>
  <c r="AD36" i="51" s="1"/>
  <c r="AE36" i="51" s="1"/>
  <c r="AF36" i="51" s="1"/>
  <c r="AG36" i="51" s="1"/>
  <c r="L37" i="51"/>
  <c r="M37" i="51" s="1"/>
  <c r="N37" i="51" s="1"/>
  <c r="O37" i="51" s="1"/>
  <c r="P37" i="51" s="1"/>
  <c r="Q37" i="51" s="1"/>
  <c r="R37" i="51" s="1"/>
  <c r="S37" i="51" s="1"/>
  <c r="T37" i="51" s="1"/>
  <c r="U37" i="51" s="1"/>
  <c r="V39" i="51"/>
  <c r="W39" i="51" s="1"/>
  <c r="X39" i="51" s="1"/>
  <c r="Y39" i="51" s="1"/>
  <c r="Z39" i="51" s="1"/>
  <c r="AA39" i="51" s="1"/>
  <c r="AB39" i="51" s="1"/>
  <c r="AC39" i="51" s="1"/>
  <c r="AD39" i="51" s="1"/>
  <c r="AE39" i="51" s="1"/>
  <c r="AF39" i="51" s="1"/>
  <c r="AG39" i="51" s="1"/>
  <c r="C11" i="50"/>
  <c r="I26" i="51"/>
  <c r="L24" i="51"/>
  <c r="M24" i="51" s="1"/>
  <c r="N24" i="51" s="1"/>
  <c r="O24" i="51" s="1"/>
  <c r="P24" i="51" s="1"/>
  <c r="Q24" i="51" s="1"/>
  <c r="R24" i="51" s="1"/>
  <c r="S24" i="51" s="1"/>
  <c r="T24" i="51" s="1"/>
  <c r="U24" i="51" s="1"/>
  <c r="L31" i="51"/>
  <c r="K30" i="51"/>
  <c r="V34" i="51"/>
  <c r="W34" i="51" s="1"/>
  <c r="X34" i="51" s="1"/>
  <c r="Y34" i="51" s="1"/>
  <c r="Z34" i="51" s="1"/>
  <c r="AA34" i="51" s="1"/>
  <c r="AB34" i="51" s="1"/>
  <c r="AC34" i="51" s="1"/>
  <c r="AD34" i="51" s="1"/>
  <c r="AE34" i="51" s="1"/>
  <c r="AF34" i="51" s="1"/>
  <c r="AG34" i="51" s="1"/>
  <c r="L35" i="51"/>
  <c r="M35" i="51" s="1"/>
  <c r="N35" i="51" s="1"/>
  <c r="O35" i="51" s="1"/>
  <c r="P35" i="51" s="1"/>
  <c r="Q35" i="51" s="1"/>
  <c r="R35" i="51" s="1"/>
  <c r="S35" i="51" s="1"/>
  <c r="T35" i="51" s="1"/>
  <c r="U35" i="51" s="1"/>
  <c r="J30" i="51"/>
  <c r="D32" i="51"/>
  <c r="J38" i="51"/>
  <c r="K38" i="51" s="1"/>
  <c r="L38" i="51" s="1"/>
  <c r="M38" i="51" s="1"/>
  <c r="N38" i="51" s="1"/>
  <c r="O38" i="51" s="1"/>
  <c r="P38" i="51" s="1"/>
  <c r="Q38" i="51" s="1"/>
  <c r="R38" i="51" s="1"/>
  <c r="S38" i="51" s="1"/>
  <c r="T38" i="51" s="1"/>
  <c r="U38" i="51" s="1"/>
  <c r="J40" i="51"/>
  <c r="K40" i="51" s="1"/>
  <c r="L40" i="51" s="1"/>
  <c r="M40" i="51" s="1"/>
  <c r="N40" i="51" s="1"/>
  <c r="O40" i="51" s="1"/>
  <c r="P40" i="51" s="1"/>
  <c r="Q40" i="51" s="1"/>
  <c r="R40" i="51" s="1"/>
  <c r="S40" i="51" s="1"/>
  <c r="T40" i="51" s="1"/>
  <c r="U40" i="51" s="1"/>
  <c r="V44" i="51"/>
  <c r="W44" i="51" s="1"/>
  <c r="X44" i="51" s="1"/>
  <c r="Y44" i="51" s="1"/>
  <c r="Z44" i="51" s="1"/>
  <c r="AA44" i="51" s="1"/>
  <c r="AB44" i="51" s="1"/>
  <c r="AC44" i="51" s="1"/>
  <c r="AD44" i="51" s="1"/>
  <c r="AE44" i="51" s="1"/>
  <c r="AF44" i="51" s="1"/>
  <c r="AG44" i="51" s="1"/>
  <c r="L41" i="51"/>
  <c r="M41" i="51" s="1"/>
  <c r="N41" i="51" s="1"/>
  <c r="O41" i="51" s="1"/>
  <c r="P41" i="51" s="1"/>
  <c r="Q41" i="51" s="1"/>
  <c r="R41" i="51" s="1"/>
  <c r="S41" i="51" s="1"/>
  <c r="T41" i="51" s="1"/>
  <c r="U41" i="51" s="1"/>
  <c r="L43" i="51"/>
  <c r="M46" i="51"/>
  <c r="N46" i="51" s="1"/>
  <c r="O46" i="51" s="1"/>
  <c r="P46" i="51" s="1"/>
  <c r="Q46" i="51" s="1"/>
  <c r="R46" i="51" s="1"/>
  <c r="S46" i="51" s="1"/>
  <c r="T46" i="51" s="1"/>
  <c r="U46" i="51" s="1"/>
  <c r="M48" i="51"/>
  <c r="N48" i="51" s="1"/>
  <c r="O48" i="51" s="1"/>
  <c r="P48" i="51" s="1"/>
  <c r="Q48" i="51" s="1"/>
  <c r="R48" i="51" s="1"/>
  <c r="S48" i="51" s="1"/>
  <c r="T48" i="51" s="1"/>
  <c r="U48" i="51" s="1"/>
  <c r="J45" i="51"/>
  <c r="K45" i="51" s="1"/>
  <c r="L45" i="51" s="1"/>
  <c r="M45" i="51" s="1"/>
  <c r="N45" i="51" s="1"/>
  <c r="O45" i="51" s="1"/>
  <c r="P45" i="51" s="1"/>
  <c r="Q45" i="51" s="1"/>
  <c r="R45" i="51" s="1"/>
  <c r="S45" i="51" s="1"/>
  <c r="T45" i="51" s="1"/>
  <c r="U45" i="51" s="1"/>
  <c r="S7" i="52"/>
  <c r="T7" i="52" s="1"/>
  <c r="U7" i="52" s="1"/>
  <c r="V7" i="52" s="1"/>
  <c r="W7" i="52" s="1"/>
  <c r="X7" i="52" s="1"/>
  <c r="O5" i="52"/>
  <c r="AM5" i="52"/>
  <c r="K6" i="52"/>
  <c r="L7" i="52"/>
  <c r="AA9" i="52"/>
  <c r="AB9" i="52" s="1"/>
  <c r="AC9" i="52" s="1"/>
  <c r="AD9" i="52" s="1"/>
  <c r="AE9" i="52" s="1"/>
  <c r="AF9" i="52" s="1"/>
  <c r="AG9" i="52" s="1"/>
  <c r="AH9" i="52" s="1"/>
  <c r="AI9" i="52" s="1"/>
  <c r="AJ9" i="52" s="1"/>
  <c r="N10" i="52"/>
  <c r="O10" i="52" s="1"/>
  <c r="P10" i="52" s="1"/>
  <c r="Q10" i="52" s="1"/>
  <c r="R10" i="52" s="1"/>
  <c r="S10" i="52" s="1"/>
  <c r="T10" i="52" s="1"/>
  <c r="U10" i="52" s="1"/>
  <c r="V10" i="52" s="1"/>
  <c r="W10" i="52" s="1"/>
  <c r="X10" i="52" s="1"/>
  <c r="AL10" i="52"/>
  <c r="AM10" i="52" s="1"/>
  <c r="AN10" i="52" s="1"/>
  <c r="AO10" i="52" s="1"/>
  <c r="AP10" i="52" s="1"/>
  <c r="AQ10" i="52" s="1"/>
  <c r="AR10" i="52" s="1"/>
  <c r="AS10" i="52" s="1"/>
  <c r="AT10" i="52" s="1"/>
  <c r="AU10" i="52" s="1"/>
  <c r="AV10" i="52" s="1"/>
  <c r="AA11" i="52"/>
  <c r="AB11" i="52" s="1"/>
  <c r="AC11" i="52" s="1"/>
  <c r="AD11" i="52" s="1"/>
  <c r="AE11" i="52" s="1"/>
  <c r="AF11" i="52" s="1"/>
  <c r="AG11" i="52" s="1"/>
  <c r="AH11" i="52" s="1"/>
  <c r="AI11" i="52" s="1"/>
  <c r="AJ11" i="52" s="1"/>
  <c r="AA5" i="52"/>
  <c r="N6" i="52"/>
  <c r="O6" i="52" s="1"/>
  <c r="P6" i="52" s="1"/>
  <c r="Q6" i="52" s="1"/>
  <c r="R6" i="52" s="1"/>
  <c r="S6" i="52" s="1"/>
  <c r="T6" i="52" s="1"/>
  <c r="U6" i="52" s="1"/>
  <c r="V6" i="52" s="1"/>
  <c r="W6" i="52" s="1"/>
  <c r="X6" i="52" s="1"/>
  <c r="AL6" i="52"/>
  <c r="AM6" i="52" s="1"/>
  <c r="AN6" i="52" s="1"/>
  <c r="AO6" i="52" s="1"/>
  <c r="AP6" i="52" s="1"/>
  <c r="AQ6" i="52" s="1"/>
  <c r="AR6" i="52" s="1"/>
  <c r="AS6" i="52" s="1"/>
  <c r="AT6" i="52" s="1"/>
  <c r="AU6" i="52" s="1"/>
  <c r="AV6" i="52" s="1"/>
  <c r="AA7" i="52"/>
  <c r="AB7" i="52" s="1"/>
  <c r="AC7" i="52" s="1"/>
  <c r="AD7" i="52" s="1"/>
  <c r="AE7" i="52" s="1"/>
  <c r="AF7" i="52" s="1"/>
  <c r="AG7" i="52" s="1"/>
  <c r="AH7" i="52" s="1"/>
  <c r="AI7" i="52" s="1"/>
  <c r="AJ7" i="52" s="1"/>
  <c r="N8" i="52"/>
  <c r="AL8" i="52"/>
  <c r="AO9" i="52"/>
  <c r="AP9" i="52" s="1"/>
  <c r="AQ9" i="52" s="1"/>
  <c r="AR9" i="52" s="1"/>
  <c r="AS9" i="52" s="1"/>
  <c r="AT9" i="52" s="1"/>
  <c r="AU9" i="52" s="1"/>
  <c r="AV9" i="52" s="1"/>
  <c r="Z10" i="52"/>
  <c r="AA10" i="52" s="1"/>
  <c r="AB10" i="52" s="1"/>
  <c r="AC10" i="52" s="1"/>
  <c r="AD10" i="52" s="1"/>
  <c r="AE10" i="52" s="1"/>
  <c r="AF10" i="52" s="1"/>
  <c r="AG10" i="52" s="1"/>
  <c r="AH10" i="52" s="1"/>
  <c r="AI10" i="52" s="1"/>
  <c r="AJ10" i="52" s="1"/>
  <c r="AO11" i="52"/>
  <c r="AP11" i="52" s="1"/>
  <c r="AQ11" i="52" s="1"/>
  <c r="AR11" i="52" s="1"/>
  <c r="AS11" i="52" s="1"/>
  <c r="AT11" i="52" s="1"/>
  <c r="AU11" i="52" s="1"/>
  <c r="AV11" i="52" s="1"/>
  <c r="Y40" i="49" l="1"/>
  <c r="Y47" i="49"/>
  <c r="AM11" i="49"/>
  <c r="AL53" i="49"/>
  <c r="N11" i="49"/>
  <c r="M53" i="49"/>
  <c r="AA11" i="49"/>
  <c r="Z53" i="49"/>
  <c r="AK40" i="49"/>
  <c r="AK47" i="49"/>
  <c r="AK46" i="49" s="1"/>
  <c r="AH20" i="47" s="1"/>
  <c r="M46" i="49"/>
  <c r="J20" i="47" s="1"/>
  <c r="Y46" i="49"/>
  <c r="V20" i="47" s="1"/>
  <c r="AM14" i="49"/>
  <c r="AL56" i="49"/>
  <c r="AA14" i="49"/>
  <c r="Z56" i="49"/>
  <c r="AG20" i="47"/>
  <c r="O14" i="49"/>
  <c r="N56" i="49"/>
  <c r="D19" i="62"/>
  <c r="F27" i="47"/>
  <c r="M40" i="49"/>
  <c r="E39" i="51"/>
  <c r="D37" i="51"/>
  <c r="E32" i="51"/>
  <c r="E36" i="51"/>
  <c r="D45" i="51"/>
  <c r="D48" i="51"/>
  <c r="D44" i="51"/>
  <c r="E44" i="51"/>
  <c r="D38" i="51"/>
  <c r="D35" i="51"/>
  <c r="E34" i="51"/>
  <c r="D40" i="51"/>
  <c r="D46" i="51"/>
  <c r="D33" i="51"/>
  <c r="D41" i="51"/>
  <c r="AJ18" i="52"/>
  <c r="AJ16" i="52"/>
  <c r="AV18" i="52"/>
  <c r="AV16" i="52"/>
  <c r="AL16" i="52"/>
  <c r="AL18" i="52"/>
  <c r="Q18" i="52"/>
  <c r="Q16" i="52"/>
  <c r="U21" i="52"/>
  <c r="AC19" i="52"/>
  <c r="K19" i="52" s="1"/>
  <c r="AQ19" i="52"/>
  <c r="L19" i="52" s="1"/>
  <c r="T21" i="52"/>
  <c r="AP18" i="52"/>
  <c r="AP16" i="52"/>
  <c r="AH18" i="52"/>
  <c r="AH16" i="52"/>
  <c r="AF18" i="52"/>
  <c r="AF16" i="52"/>
  <c r="V16" i="52"/>
  <c r="V18" i="52"/>
  <c r="K49" i="51"/>
  <c r="R18" i="52"/>
  <c r="R16" i="52"/>
  <c r="X18" i="52"/>
  <c r="X16" i="52"/>
  <c r="N16" i="52"/>
  <c r="N18" i="52"/>
  <c r="Z49" i="51"/>
  <c r="C7" i="50"/>
  <c r="Q17" i="52"/>
  <c r="J17" i="52" s="1"/>
  <c r="AK16" i="52"/>
  <c r="AK18" i="52"/>
  <c r="AU18" i="52"/>
  <c r="AU16" i="52"/>
  <c r="AO18" i="52"/>
  <c r="AO16" i="52"/>
  <c r="AN18" i="52"/>
  <c r="AN16" i="52"/>
  <c r="AI18" i="52"/>
  <c r="AI16" i="52"/>
  <c r="AS16" i="52"/>
  <c r="AS18" i="52"/>
  <c r="P18" i="52"/>
  <c r="P16" i="52"/>
  <c r="T16" i="52"/>
  <c r="T18" i="52"/>
  <c r="T49" i="51"/>
  <c r="AM18" i="52"/>
  <c r="AM16" i="52"/>
  <c r="AC16" i="52"/>
  <c r="AC18" i="52"/>
  <c r="AP49" i="51"/>
  <c r="AL49" i="51"/>
  <c r="AQ18" i="52"/>
  <c r="AQ16" i="52"/>
  <c r="U16" i="52"/>
  <c r="U18" i="52"/>
  <c r="O18" i="52"/>
  <c r="O16" i="52"/>
  <c r="Z18" i="52"/>
  <c r="Z16" i="52"/>
  <c r="AB18" i="52"/>
  <c r="AB16" i="52"/>
  <c r="AD16" i="52"/>
  <c r="AD18" i="52"/>
  <c r="Y18" i="52"/>
  <c r="Y16" i="52"/>
  <c r="E7" i="50"/>
  <c r="AE18" i="52"/>
  <c r="AE16" i="52"/>
  <c r="AR49" i="51"/>
  <c r="L49" i="51"/>
  <c r="AI49" i="51"/>
  <c r="AG18" i="52"/>
  <c r="AG16" i="52"/>
  <c r="W18" i="52"/>
  <c r="W16" i="52"/>
  <c r="AA18" i="52"/>
  <c r="AA16" i="52"/>
  <c r="S18" i="52"/>
  <c r="S16" i="52"/>
  <c r="AR16" i="52"/>
  <c r="AR18" i="52"/>
  <c r="M18" i="52"/>
  <c r="M16" i="52"/>
  <c r="AT18" i="52"/>
  <c r="AT16" i="52"/>
  <c r="AH49" i="51"/>
  <c r="F49" i="51" s="1"/>
  <c r="AD49" i="51"/>
  <c r="J49" i="51"/>
  <c r="D49" i="51" s="1"/>
  <c r="H27" i="47"/>
  <c r="E16" i="62"/>
  <c r="AM8" i="52"/>
  <c r="AL12" i="52"/>
  <c r="O8" i="52"/>
  <c r="N12" i="52"/>
  <c r="AA8" i="52"/>
  <c r="Z12" i="52"/>
  <c r="V18" i="51" s="1"/>
  <c r="U49" i="51"/>
  <c r="M47" i="51"/>
  <c r="D7" i="50"/>
  <c r="G7" i="50" s="1"/>
  <c r="C6" i="50"/>
  <c r="AK49" i="51"/>
  <c r="AC49" i="51"/>
  <c r="M49" i="51"/>
  <c r="AH19" i="47"/>
  <c r="V19" i="47"/>
  <c r="AG19" i="47"/>
  <c r="J19" i="47"/>
  <c r="Z47" i="51"/>
  <c r="AC47" i="51"/>
  <c r="J47" i="51"/>
  <c r="J42" i="51" s="1"/>
  <c r="AL11" i="51"/>
  <c r="BW10" i="33" s="1"/>
  <c r="O47" i="51"/>
  <c r="Y47" i="51"/>
  <c r="AR47" i="51"/>
  <c r="AB47" i="51"/>
  <c r="AQ47" i="51"/>
  <c r="S47" i="51"/>
  <c r="M11" i="51"/>
  <c r="L47" i="51"/>
  <c r="L42" i="51" s="1"/>
  <c r="R11" i="51"/>
  <c r="AM47" i="51"/>
  <c r="Q47" i="51"/>
  <c r="AN11" i="51"/>
  <c r="BY10" i="33" s="1"/>
  <c r="T47" i="51"/>
  <c r="U47" i="51" s="1"/>
  <c r="AK11" i="51"/>
  <c r="AI11" i="51"/>
  <c r="V47" i="51"/>
  <c r="AP11" i="51"/>
  <c r="X11" i="51"/>
  <c r="W47" i="51"/>
  <c r="AF11" i="51"/>
  <c r="AA11" i="51"/>
  <c r="AD11" i="51"/>
  <c r="N47" i="51"/>
  <c r="AE47" i="51"/>
  <c r="AO11" i="51"/>
  <c r="I47" i="51"/>
  <c r="AJ47" i="51"/>
  <c r="P47" i="51"/>
  <c r="K47" i="51"/>
  <c r="K42" i="51" s="1"/>
  <c r="U11" i="51"/>
  <c r="AP47" i="51"/>
  <c r="AC11" i="51"/>
  <c r="AF47" i="51"/>
  <c r="AG47" i="51" s="1"/>
  <c r="W11" i="51"/>
  <c r="Z11" i="51"/>
  <c r="AK47" i="51"/>
  <c r="K11" i="51"/>
  <c r="AI47" i="51"/>
  <c r="AJ11" i="51"/>
  <c r="K7" i="52"/>
  <c r="J6" i="52"/>
  <c r="E6" i="50"/>
  <c r="AQ11" i="51"/>
  <c r="X47" i="51"/>
  <c r="F11" i="50"/>
  <c r="D6" i="50"/>
  <c r="G9" i="50"/>
  <c r="F12" i="50"/>
  <c r="F13" i="50"/>
  <c r="AN47" i="51"/>
  <c r="Q11" i="51"/>
  <c r="E5" i="50"/>
  <c r="E15" i="50" s="1"/>
  <c r="N11" i="51"/>
  <c r="AB11" i="51"/>
  <c r="AA47" i="51"/>
  <c r="S11" i="51"/>
  <c r="T11" i="51"/>
  <c r="Y11" i="51"/>
  <c r="G34" i="51"/>
  <c r="AR11" i="51"/>
  <c r="G11" i="50"/>
  <c r="F9" i="50"/>
  <c r="K10" i="52"/>
  <c r="G13" i="50"/>
  <c r="G44" i="51"/>
  <c r="C5" i="50"/>
  <c r="C15" i="50" s="1"/>
  <c r="F8" i="51"/>
  <c r="I11" i="51"/>
  <c r="AO47" i="51"/>
  <c r="AG11" i="51"/>
  <c r="E8" i="51"/>
  <c r="AH11" i="51"/>
  <c r="BS10" i="33" s="1"/>
  <c r="R47" i="51"/>
  <c r="G12" i="50"/>
  <c r="L11" i="52"/>
  <c r="L9" i="52"/>
  <c r="L6" i="52"/>
  <c r="AM11" i="51"/>
  <c r="BX10" i="33" s="1"/>
  <c r="AE11" i="51"/>
  <c r="BP10" i="33" s="1"/>
  <c r="O11" i="51"/>
  <c r="AZ10" i="33" s="1"/>
  <c r="I50" i="51"/>
  <c r="AL47" i="51"/>
  <c r="AH47" i="51"/>
  <c r="AD47" i="51"/>
  <c r="P11" i="51"/>
  <c r="BA10" i="33" s="1"/>
  <c r="L11" i="51"/>
  <c r="AW10" i="33" s="1"/>
  <c r="V11" i="51"/>
  <c r="BG10" i="33" s="1"/>
  <c r="D8" i="51"/>
  <c r="J11" i="51"/>
  <c r="AU10" i="33" s="1"/>
  <c r="D5" i="50"/>
  <c r="D15" i="50" s="1"/>
  <c r="AN5" i="52"/>
  <c r="P5" i="52"/>
  <c r="V45" i="51"/>
  <c r="W45" i="51" s="1"/>
  <c r="X45" i="51" s="1"/>
  <c r="Y45" i="51" s="1"/>
  <c r="Z45" i="51" s="1"/>
  <c r="AA45" i="51" s="1"/>
  <c r="AB45" i="51" s="1"/>
  <c r="AC45" i="51" s="1"/>
  <c r="AD45" i="51" s="1"/>
  <c r="AE45" i="51" s="1"/>
  <c r="AF45" i="51" s="1"/>
  <c r="AG45" i="51" s="1"/>
  <c r="V48" i="51"/>
  <c r="W48" i="51" s="1"/>
  <c r="X48" i="51" s="1"/>
  <c r="Y48" i="51" s="1"/>
  <c r="Z48" i="51" s="1"/>
  <c r="AA48" i="51" s="1"/>
  <c r="AB48" i="51" s="1"/>
  <c r="AC48" i="51" s="1"/>
  <c r="AD48" i="51" s="1"/>
  <c r="AE48" i="51" s="1"/>
  <c r="AF48" i="51" s="1"/>
  <c r="AG48" i="51" s="1"/>
  <c r="V46" i="51"/>
  <c r="W46" i="51" s="1"/>
  <c r="X46" i="51" s="1"/>
  <c r="Y46" i="51" s="1"/>
  <c r="Z46" i="51" s="1"/>
  <c r="AA46" i="51" s="1"/>
  <c r="AB46" i="51" s="1"/>
  <c r="AC46" i="51" s="1"/>
  <c r="AD46" i="51" s="1"/>
  <c r="AE46" i="51" s="1"/>
  <c r="AF46" i="51" s="1"/>
  <c r="AG46" i="51" s="1"/>
  <c r="V38" i="51"/>
  <c r="W38" i="51" s="1"/>
  <c r="X38" i="51" s="1"/>
  <c r="Y38" i="51" s="1"/>
  <c r="Z38" i="51" s="1"/>
  <c r="AA38" i="51" s="1"/>
  <c r="AB38" i="51" s="1"/>
  <c r="AC38" i="51" s="1"/>
  <c r="AD38" i="51" s="1"/>
  <c r="AE38" i="51" s="1"/>
  <c r="AF38" i="51" s="1"/>
  <c r="AG38" i="51" s="1"/>
  <c r="V35" i="51"/>
  <c r="W35" i="51" s="1"/>
  <c r="X35" i="51" s="1"/>
  <c r="Y35" i="51" s="1"/>
  <c r="Z35" i="51" s="1"/>
  <c r="AA35" i="51" s="1"/>
  <c r="AB35" i="51" s="1"/>
  <c r="AC35" i="51" s="1"/>
  <c r="AD35" i="51" s="1"/>
  <c r="AE35" i="51" s="1"/>
  <c r="AF35" i="51" s="1"/>
  <c r="AG35" i="51" s="1"/>
  <c r="V24" i="51"/>
  <c r="W24" i="51" s="1"/>
  <c r="X24" i="51" s="1"/>
  <c r="Y24" i="51" s="1"/>
  <c r="Z24" i="51" s="1"/>
  <c r="AA24" i="51" s="1"/>
  <c r="AB24" i="51" s="1"/>
  <c r="AC24" i="51" s="1"/>
  <c r="AD24" i="51" s="1"/>
  <c r="AE24" i="51" s="1"/>
  <c r="AF24" i="51" s="1"/>
  <c r="AG24" i="51" s="1"/>
  <c r="J20" i="52"/>
  <c r="K20" i="52"/>
  <c r="L20" i="52"/>
  <c r="AH39" i="51"/>
  <c r="AI39" i="51" s="1"/>
  <c r="AJ39" i="51" s="1"/>
  <c r="AK39" i="51" s="1"/>
  <c r="AL39" i="51" s="1"/>
  <c r="AM39" i="51" s="1"/>
  <c r="AN39" i="51" s="1"/>
  <c r="AO39" i="51" s="1"/>
  <c r="AP39" i="51" s="1"/>
  <c r="AQ39" i="51" s="1"/>
  <c r="AR39" i="51" s="1"/>
  <c r="AH36" i="51"/>
  <c r="AI36" i="51" s="1"/>
  <c r="AJ36" i="51" s="1"/>
  <c r="AK36" i="51" s="1"/>
  <c r="AL36" i="51" s="1"/>
  <c r="AM36" i="51" s="1"/>
  <c r="AN36" i="51" s="1"/>
  <c r="AO36" i="51" s="1"/>
  <c r="AP36" i="51" s="1"/>
  <c r="AQ36" i="51" s="1"/>
  <c r="AR36" i="51" s="1"/>
  <c r="AH32" i="51"/>
  <c r="AI32" i="51" s="1"/>
  <c r="AJ32" i="51" s="1"/>
  <c r="AK32" i="51" s="1"/>
  <c r="AL32" i="51" s="1"/>
  <c r="AM32" i="51" s="1"/>
  <c r="AN32" i="51" s="1"/>
  <c r="AO32" i="51" s="1"/>
  <c r="AP32" i="51" s="1"/>
  <c r="AQ32" i="51" s="1"/>
  <c r="AR32" i="51" s="1"/>
  <c r="K23" i="51"/>
  <c r="J22" i="51"/>
  <c r="L21" i="52"/>
  <c r="L17" i="52"/>
  <c r="AL5" i="49"/>
  <c r="N5" i="49"/>
  <c r="AB5" i="52"/>
  <c r="K11" i="52"/>
  <c r="L10" i="52"/>
  <c r="J10" i="52"/>
  <c r="K9" i="52"/>
  <c r="J18" i="51"/>
  <c r="J7" i="52"/>
  <c r="M43" i="51"/>
  <c r="V41" i="51"/>
  <c r="W41" i="51" s="1"/>
  <c r="X41" i="51" s="1"/>
  <c r="Y41" i="51" s="1"/>
  <c r="Z41" i="51" s="1"/>
  <c r="AA41" i="51" s="1"/>
  <c r="AB41" i="51" s="1"/>
  <c r="AC41" i="51" s="1"/>
  <c r="AD41" i="51" s="1"/>
  <c r="AE41" i="51" s="1"/>
  <c r="AF41" i="51" s="1"/>
  <c r="AG41" i="51" s="1"/>
  <c r="AH44" i="51"/>
  <c r="AI44" i="51" s="1"/>
  <c r="AJ44" i="51" s="1"/>
  <c r="AK44" i="51" s="1"/>
  <c r="AL44" i="51" s="1"/>
  <c r="AM44" i="51" s="1"/>
  <c r="AN44" i="51" s="1"/>
  <c r="AO44" i="51" s="1"/>
  <c r="AP44" i="51" s="1"/>
  <c r="AQ44" i="51" s="1"/>
  <c r="AR44" i="51" s="1"/>
  <c r="V40" i="51"/>
  <c r="W40" i="51" s="1"/>
  <c r="X40" i="51" s="1"/>
  <c r="Y40" i="51" s="1"/>
  <c r="Z40" i="51" s="1"/>
  <c r="AA40" i="51" s="1"/>
  <c r="AB40" i="51" s="1"/>
  <c r="AC40" i="51" s="1"/>
  <c r="AD40" i="51" s="1"/>
  <c r="AE40" i="51" s="1"/>
  <c r="AF40" i="51" s="1"/>
  <c r="AG40" i="51" s="1"/>
  <c r="AH34" i="51"/>
  <c r="AI34" i="51" s="1"/>
  <c r="AJ34" i="51" s="1"/>
  <c r="AK34" i="51" s="1"/>
  <c r="AL34" i="51" s="1"/>
  <c r="AM34" i="51" s="1"/>
  <c r="AN34" i="51" s="1"/>
  <c r="AO34" i="51" s="1"/>
  <c r="AP34" i="51" s="1"/>
  <c r="AQ34" i="51" s="1"/>
  <c r="AR34" i="51" s="1"/>
  <c r="M31" i="51"/>
  <c r="L30" i="51"/>
  <c r="D24" i="51"/>
  <c r="J29" i="51"/>
  <c r="K29" i="51" s="1"/>
  <c r="L29" i="51" s="1"/>
  <c r="M29" i="51" s="1"/>
  <c r="N29" i="51" s="1"/>
  <c r="O29" i="51" s="1"/>
  <c r="P29" i="51" s="1"/>
  <c r="Q29" i="51" s="1"/>
  <c r="R29" i="51" s="1"/>
  <c r="S29" i="51" s="1"/>
  <c r="T29" i="51" s="1"/>
  <c r="U29" i="51" s="1"/>
  <c r="J26" i="51"/>
  <c r="J19" i="52"/>
  <c r="G39" i="51"/>
  <c r="V37" i="51"/>
  <c r="W37" i="51" s="1"/>
  <c r="X37" i="51" s="1"/>
  <c r="Y37" i="51" s="1"/>
  <c r="Z37" i="51" s="1"/>
  <c r="AA37" i="51" s="1"/>
  <c r="AB37" i="51" s="1"/>
  <c r="AC37" i="51" s="1"/>
  <c r="AD37" i="51" s="1"/>
  <c r="AE37" i="51" s="1"/>
  <c r="AF37" i="51" s="1"/>
  <c r="AG37" i="51" s="1"/>
  <c r="G36" i="51"/>
  <c r="V33" i="51"/>
  <c r="W33" i="51" s="1"/>
  <c r="X33" i="51" s="1"/>
  <c r="Y33" i="51" s="1"/>
  <c r="Z33" i="51" s="1"/>
  <c r="AA33" i="51" s="1"/>
  <c r="AB33" i="51" s="1"/>
  <c r="AC33" i="51" s="1"/>
  <c r="AD33" i="51" s="1"/>
  <c r="AE33" i="51" s="1"/>
  <c r="AF33" i="51" s="1"/>
  <c r="AG33" i="51" s="1"/>
  <c r="G32" i="51"/>
  <c r="K21" i="52"/>
  <c r="K17" i="52"/>
  <c r="Z5" i="49"/>
  <c r="J15" i="49"/>
  <c r="K15" i="49"/>
  <c r="I15" i="49"/>
  <c r="AB11" i="49" l="1"/>
  <c r="AA53" i="49"/>
  <c r="AN11" i="49"/>
  <c r="AM53" i="49"/>
  <c r="M42" i="49"/>
  <c r="N40" i="49"/>
  <c r="N47" i="49"/>
  <c r="N46" i="49" s="1"/>
  <c r="K20" i="47" s="1"/>
  <c r="AK42" i="49"/>
  <c r="O11" i="49"/>
  <c r="N53" i="49"/>
  <c r="Z40" i="49"/>
  <c r="Z47" i="49"/>
  <c r="AL40" i="49"/>
  <c r="AL47" i="49"/>
  <c r="AL46" i="49" s="1"/>
  <c r="AI20" i="47" s="1"/>
  <c r="Z46" i="49"/>
  <c r="W20" i="47" s="1"/>
  <c r="Y42" i="49"/>
  <c r="P14" i="49"/>
  <c r="O56" i="49"/>
  <c r="AB14" i="49"/>
  <c r="AA56" i="49"/>
  <c r="AN14" i="49"/>
  <c r="AM56" i="49"/>
  <c r="J21" i="52"/>
  <c r="AS22" i="52"/>
  <c r="AO19" i="51" s="1"/>
  <c r="F44" i="51"/>
  <c r="F32" i="51"/>
  <c r="F34" i="51"/>
  <c r="S22" i="52"/>
  <c r="O19" i="51" s="1"/>
  <c r="E48" i="51"/>
  <c r="F39" i="51"/>
  <c r="F36" i="51"/>
  <c r="E37" i="51"/>
  <c r="M22" i="52"/>
  <c r="M25" i="52" s="1"/>
  <c r="E38" i="51"/>
  <c r="E35" i="51"/>
  <c r="E33" i="51"/>
  <c r="E46" i="51"/>
  <c r="E47" i="51"/>
  <c r="E45" i="51"/>
  <c r="E40" i="51"/>
  <c r="E41" i="51"/>
  <c r="J50" i="51"/>
  <c r="K50" i="51" s="1"/>
  <c r="L50" i="51" s="1"/>
  <c r="M50" i="51" s="1"/>
  <c r="N50" i="51" s="1"/>
  <c r="O50" i="51" s="1"/>
  <c r="P50" i="51" s="1"/>
  <c r="Q50" i="51" s="1"/>
  <c r="R50" i="51" s="1"/>
  <c r="S50" i="51" s="1"/>
  <c r="T50" i="51" s="1"/>
  <c r="U50" i="51" s="1"/>
  <c r="D50" i="51"/>
  <c r="AL10" i="51"/>
  <c r="AL12" i="51" s="1"/>
  <c r="AL15" i="51" s="1"/>
  <c r="F7" i="50"/>
  <c r="E49" i="51"/>
  <c r="I42" i="51"/>
  <c r="D47" i="51"/>
  <c r="G47" i="51" s="1"/>
  <c r="F47" i="51"/>
  <c r="F16" i="62"/>
  <c r="F19" i="62" s="1"/>
  <c r="E19" i="62"/>
  <c r="AB8" i="52"/>
  <c r="AA12" i="52"/>
  <c r="W18" i="51" s="1"/>
  <c r="P8" i="52"/>
  <c r="O12" i="52"/>
  <c r="K18" i="51" s="1"/>
  <c r="AN8" i="52"/>
  <c r="AM12" i="52"/>
  <c r="AI18" i="51" s="1"/>
  <c r="AG10" i="51"/>
  <c r="BR10" i="33"/>
  <c r="AR10" i="51"/>
  <c r="AR12" i="51" s="1"/>
  <c r="CC10" i="33"/>
  <c r="N10" i="51"/>
  <c r="N12" i="51" s="1"/>
  <c r="N15" i="51" s="1"/>
  <c r="AY10" i="33"/>
  <c r="AC10" i="51"/>
  <c r="AC12" i="51" s="1"/>
  <c r="AC13" i="51" s="1"/>
  <c r="BN10" i="33"/>
  <c r="K10" i="51"/>
  <c r="K12" i="51" s="1"/>
  <c r="K15" i="51" s="1"/>
  <c r="AV10" i="33"/>
  <c r="AI10" i="51"/>
  <c r="AI12" i="51" s="1"/>
  <c r="AI15" i="51" s="1"/>
  <c r="BT10" i="33"/>
  <c r="M10" i="51"/>
  <c r="M12" i="51" s="1"/>
  <c r="M15" i="51" s="1"/>
  <c r="AX10" i="33"/>
  <c r="I10" i="51"/>
  <c r="I12" i="51" s="1"/>
  <c r="AT10" i="33"/>
  <c r="Q10" i="51"/>
  <c r="Q12" i="51" s="1"/>
  <c r="Q13" i="51" s="1"/>
  <c r="BB10" i="33"/>
  <c r="U10" i="51"/>
  <c r="BF10" i="33"/>
  <c r="AD10" i="51"/>
  <c r="AD12" i="51" s="1"/>
  <c r="AD15" i="51" s="1"/>
  <c r="BO10" i="33"/>
  <c r="AK10" i="51"/>
  <c r="AK12" i="51" s="1"/>
  <c r="AK15" i="51" s="1"/>
  <c r="AK16" i="51" s="1"/>
  <c r="BV10" i="33"/>
  <c r="AN10" i="51"/>
  <c r="AN12" i="51" s="1"/>
  <c r="AN15" i="51" s="1"/>
  <c r="Y10" i="51"/>
  <c r="Y12" i="51" s="1"/>
  <c r="Y15" i="51" s="1"/>
  <c r="BJ10" i="33"/>
  <c r="AQ10" i="51"/>
  <c r="AQ12" i="51" s="1"/>
  <c r="AQ13" i="51" s="1"/>
  <c r="CB10" i="33"/>
  <c r="Z10" i="51"/>
  <c r="Z12" i="51" s="1"/>
  <c r="Z15" i="51" s="1"/>
  <c r="BK10" i="33"/>
  <c r="AA10" i="51"/>
  <c r="AA12" i="51" s="1"/>
  <c r="AA13" i="51" s="1"/>
  <c r="BL10" i="33"/>
  <c r="T10" i="51"/>
  <c r="T12" i="51" s="1"/>
  <c r="BE10" i="33"/>
  <c r="W10" i="51"/>
  <c r="W12" i="51" s="1"/>
  <c r="W15" i="51" s="1"/>
  <c r="W16" i="51" s="1"/>
  <c r="BH10" i="33"/>
  <c r="AF10" i="51"/>
  <c r="AF12" i="51" s="1"/>
  <c r="AF15" i="51" s="1"/>
  <c r="AF16" i="51" s="1"/>
  <c r="BQ10" i="33"/>
  <c r="S10" i="51"/>
  <c r="S12" i="51" s="1"/>
  <c r="S15" i="51" s="1"/>
  <c r="S16" i="51" s="1"/>
  <c r="BD10" i="33"/>
  <c r="X10" i="51"/>
  <c r="X12" i="51" s="1"/>
  <c r="X15" i="51" s="1"/>
  <c r="BI10" i="33"/>
  <c r="AB10" i="51"/>
  <c r="AB12" i="51" s="1"/>
  <c r="AB15" i="51" s="1"/>
  <c r="AB16" i="51" s="1"/>
  <c r="BM10" i="33"/>
  <c r="AJ10" i="51"/>
  <c r="AJ12" i="51" s="1"/>
  <c r="AJ15" i="51" s="1"/>
  <c r="AJ16" i="51" s="1"/>
  <c r="BU10" i="33"/>
  <c r="AO10" i="51"/>
  <c r="AO12" i="51" s="1"/>
  <c r="AO15" i="51" s="1"/>
  <c r="AO16" i="51" s="1"/>
  <c r="BZ10" i="33"/>
  <c r="AP10" i="51"/>
  <c r="AP12" i="51" s="1"/>
  <c r="AP13" i="51" s="1"/>
  <c r="CA10" i="33"/>
  <c r="R10" i="51"/>
  <c r="R12" i="51" s="1"/>
  <c r="R15" i="51" s="1"/>
  <c r="R16" i="51" s="1"/>
  <c r="BC10" i="33"/>
  <c r="AI19" i="47"/>
  <c r="W19" i="47"/>
  <c r="K19" i="47"/>
  <c r="AC22" i="52"/>
  <c r="AO22" i="52"/>
  <c r="U22" i="52"/>
  <c r="N22" i="52"/>
  <c r="N25" i="52" s="1"/>
  <c r="AR22" i="52"/>
  <c r="AL22" i="52"/>
  <c r="AL25" i="52" s="1"/>
  <c r="AF22" i="52"/>
  <c r="AJ22" i="52"/>
  <c r="AQ22" i="52"/>
  <c r="AB22" i="52"/>
  <c r="AN22" i="52"/>
  <c r="AP22" i="52"/>
  <c r="R22" i="52"/>
  <c r="AK22" i="52"/>
  <c r="AK25" i="52" s="1"/>
  <c r="V22" i="52"/>
  <c r="AM22" i="52"/>
  <c r="W22" i="52"/>
  <c r="AD22" i="52"/>
  <c r="AG22" i="52"/>
  <c r="AV22" i="52"/>
  <c r="Y22" i="52"/>
  <c r="Y25" i="52" s="1"/>
  <c r="AU22" i="52"/>
  <c r="P22" i="52"/>
  <c r="AI22" i="52"/>
  <c r="T22" i="52"/>
  <c r="Q22" i="52"/>
  <c r="AE22" i="52"/>
  <c r="AA22" i="52"/>
  <c r="AA25" i="52" s="1"/>
  <c r="AT22" i="52"/>
  <c r="AH22" i="52"/>
  <c r="Z22" i="52"/>
  <c r="Z25" i="52" s="1"/>
  <c r="O22" i="52"/>
  <c r="X22" i="52"/>
  <c r="K16" i="52"/>
  <c r="J18" i="52"/>
  <c r="J16" i="52"/>
  <c r="L18" i="52"/>
  <c r="L16" i="52"/>
  <c r="K18" i="52"/>
  <c r="G6" i="50"/>
  <c r="G41" i="51"/>
  <c r="E27" i="54"/>
  <c r="H36" i="51"/>
  <c r="X13" i="51"/>
  <c r="F6" i="50"/>
  <c r="AN13" i="51"/>
  <c r="N13" i="51"/>
  <c r="AP15" i="51"/>
  <c r="AP16" i="51" s="1"/>
  <c r="Q15" i="51"/>
  <c r="Q16" i="51" s="1"/>
  <c r="T13" i="51"/>
  <c r="T15" i="51"/>
  <c r="T16" i="51" s="1"/>
  <c r="AO13" i="51"/>
  <c r="Z13" i="51"/>
  <c r="AI13" i="51"/>
  <c r="AL13" i="51"/>
  <c r="M13" i="51"/>
  <c r="D11" i="51"/>
  <c r="F11" i="51"/>
  <c r="F5" i="50"/>
  <c r="AR15" i="51"/>
  <c r="AR16" i="51" s="1"/>
  <c r="AR13" i="51"/>
  <c r="Y13" i="51"/>
  <c r="AD13" i="51"/>
  <c r="G8" i="51"/>
  <c r="G33" i="51"/>
  <c r="G46" i="51"/>
  <c r="G38" i="51"/>
  <c r="J10" i="51"/>
  <c r="J12" i="51" s="1"/>
  <c r="P10" i="51"/>
  <c r="P12" i="51" s="1"/>
  <c r="AE10" i="51"/>
  <c r="AE12" i="51" s="1"/>
  <c r="H44" i="51"/>
  <c r="K13" i="51"/>
  <c r="O10" i="51"/>
  <c r="O12" i="51" s="1"/>
  <c r="AH10" i="51"/>
  <c r="AH12" i="51" s="1"/>
  <c r="G45" i="51"/>
  <c r="V10" i="51"/>
  <c r="V12" i="51" s="1"/>
  <c r="E11" i="51"/>
  <c r="H32" i="51"/>
  <c r="G35" i="51"/>
  <c r="L10" i="51"/>
  <c r="L12" i="51" s="1"/>
  <c r="AM10" i="51"/>
  <c r="AM12" i="51" s="1"/>
  <c r="H8" i="51"/>
  <c r="G5" i="50"/>
  <c r="D29" i="51"/>
  <c r="AG12" i="51"/>
  <c r="AA5" i="49"/>
  <c r="AH33" i="51"/>
  <c r="AI33" i="51" s="1"/>
  <c r="AJ33" i="51" s="1"/>
  <c r="AK33" i="51" s="1"/>
  <c r="AL33" i="51" s="1"/>
  <c r="AM33" i="51" s="1"/>
  <c r="AN33" i="51" s="1"/>
  <c r="AO33" i="51" s="1"/>
  <c r="AP33" i="51" s="1"/>
  <c r="AQ33" i="51" s="1"/>
  <c r="AR33" i="51" s="1"/>
  <c r="G37" i="51"/>
  <c r="V29" i="51"/>
  <c r="W29" i="51" s="1"/>
  <c r="X29" i="51" s="1"/>
  <c r="Y29" i="51" s="1"/>
  <c r="Z29" i="51" s="1"/>
  <c r="AA29" i="51" s="1"/>
  <c r="AB29" i="51" s="1"/>
  <c r="AC29" i="51" s="1"/>
  <c r="AD29" i="51" s="1"/>
  <c r="AE29" i="51" s="1"/>
  <c r="AF29" i="51" s="1"/>
  <c r="AG29" i="51" s="1"/>
  <c r="H34" i="51"/>
  <c r="G40" i="51"/>
  <c r="AH41" i="51"/>
  <c r="AI41" i="51" s="1"/>
  <c r="AJ41" i="51" s="1"/>
  <c r="AK41" i="51" s="1"/>
  <c r="AL41" i="51" s="1"/>
  <c r="AM41" i="51" s="1"/>
  <c r="AN41" i="51" s="1"/>
  <c r="AO41" i="51" s="1"/>
  <c r="AP41" i="51" s="1"/>
  <c r="AQ41" i="51" s="1"/>
  <c r="AR41" i="51" s="1"/>
  <c r="AC5" i="52"/>
  <c r="O5" i="49"/>
  <c r="AM5" i="49"/>
  <c r="H39" i="51"/>
  <c r="E24" i="51"/>
  <c r="G24" i="51" s="1"/>
  <c r="AH35" i="51"/>
  <c r="AI35" i="51" s="1"/>
  <c r="AJ35" i="51" s="1"/>
  <c r="AK35" i="51" s="1"/>
  <c r="AL35" i="51" s="1"/>
  <c r="AM35" i="51" s="1"/>
  <c r="AN35" i="51" s="1"/>
  <c r="AO35" i="51" s="1"/>
  <c r="AP35" i="51" s="1"/>
  <c r="AQ35" i="51" s="1"/>
  <c r="AR35" i="51" s="1"/>
  <c r="AH38" i="51"/>
  <c r="AI38" i="51" s="1"/>
  <c r="AJ38" i="51" s="1"/>
  <c r="AK38" i="51" s="1"/>
  <c r="AL38" i="51" s="1"/>
  <c r="AM38" i="51" s="1"/>
  <c r="AN38" i="51" s="1"/>
  <c r="AO38" i="51" s="1"/>
  <c r="AP38" i="51" s="1"/>
  <c r="AQ38" i="51" s="1"/>
  <c r="AR38" i="51" s="1"/>
  <c r="G48" i="51"/>
  <c r="AH45" i="51"/>
  <c r="AI45" i="51" s="1"/>
  <c r="AJ45" i="51" s="1"/>
  <c r="AK45" i="51" s="1"/>
  <c r="AL45" i="51" s="1"/>
  <c r="AM45" i="51" s="1"/>
  <c r="AN45" i="51" s="1"/>
  <c r="AO45" i="51" s="1"/>
  <c r="AP45" i="51" s="1"/>
  <c r="AQ45" i="51" s="1"/>
  <c r="AR45" i="51" s="1"/>
  <c r="Q5" i="52"/>
  <c r="Y16" i="51"/>
  <c r="X16" i="51"/>
  <c r="AN16" i="51"/>
  <c r="M16" i="51"/>
  <c r="AH37" i="51"/>
  <c r="AI37" i="51" s="1"/>
  <c r="AJ37" i="51" s="1"/>
  <c r="AK37" i="51" s="1"/>
  <c r="AL37" i="51" s="1"/>
  <c r="AM37" i="51" s="1"/>
  <c r="AN37" i="51" s="1"/>
  <c r="AO37" i="51" s="1"/>
  <c r="AP37" i="51" s="1"/>
  <c r="AQ37" i="51" s="1"/>
  <c r="AR37" i="51" s="1"/>
  <c r="K26" i="51"/>
  <c r="N31" i="51"/>
  <c r="M30" i="51"/>
  <c r="AH40" i="51"/>
  <c r="AI40" i="51" s="1"/>
  <c r="AJ40" i="51" s="1"/>
  <c r="AK40" i="51" s="1"/>
  <c r="AL40" i="51" s="1"/>
  <c r="AM40" i="51" s="1"/>
  <c r="AN40" i="51" s="1"/>
  <c r="AO40" i="51" s="1"/>
  <c r="AP40" i="51" s="1"/>
  <c r="AQ40" i="51" s="1"/>
  <c r="AR40" i="51" s="1"/>
  <c r="N43" i="51"/>
  <c r="M42" i="51"/>
  <c r="AH18" i="51"/>
  <c r="N16" i="51"/>
  <c r="Z16" i="51"/>
  <c r="AD16" i="51"/>
  <c r="AL16" i="51"/>
  <c r="V50" i="51"/>
  <c r="W50" i="51" s="1"/>
  <c r="X50" i="51" s="1"/>
  <c r="Y50" i="51" s="1"/>
  <c r="Z50" i="51" s="1"/>
  <c r="AA50" i="51" s="1"/>
  <c r="AB50" i="51" s="1"/>
  <c r="AC50" i="51" s="1"/>
  <c r="AD50" i="51" s="1"/>
  <c r="AE50" i="51" s="1"/>
  <c r="AF50" i="51" s="1"/>
  <c r="AG50" i="51" s="1"/>
  <c r="K16" i="51"/>
  <c r="U12" i="51"/>
  <c r="AI16" i="51"/>
  <c r="L23" i="51"/>
  <c r="K22" i="51"/>
  <c r="AH24" i="51"/>
  <c r="AI24" i="51" s="1"/>
  <c r="AJ24" i="51" s="1"/>
  <c r="AK24" i="51" s="1"/>
  <c r="AL24" i="51" s="1"/>
  <c r="AM24" i="51" s="1"/>
  <c r="AN24" i="51" s="1"/>
  <c r="AO24" i="51" s="1"/>
  <c r="AP24" i="51" s="1"/>
  <c r="AQ24" i="51" s="1"/>
  <c r="AR24" i="51" s="1"/>
  <c r="AH46" i="51"/>
  <c r="AI46" i="51" s="1"/>
  <c r="AJ46" i="51" s="1"/>
  <c r="AK46" i="51" s="1"/>
  <c r="AL46" i="51" s="1"/>
  <c r="AM46" i="51" s="1"/>
  <c r="AN46" i="51" s="1"/>
  <c r="AO46" i="51" s="1"/>
  <c r="AP46" i="51" s="1"/>
  <c r="AQ46" i="51" s="1"/>
  <c r="AR46" i="51" s="1"/>
  <c r="AH48" i="51"/>
  <c r="AI48" i="51" s="1"/>
  <c r="AJ48" i="51" s="1"/>
  <c r="AK48" i="51" s="1"/>
  <c r="AL48" i="51" s="1"/>
  <c r="AM48" i="51" s="1"/>
  <c r="AN48" i="51" s="1"/>
  <c r="AO48" i="51" s="1"/>
  <c r="AP48" i="51" s="1"/>
  <c r="AQ48" i="51" s="1"/>
  <c r="AR48" i="51" s="1"/>
  <c r="AO5" i="52"/>
  <c r="AM40" i="49" l="1"/>
  <c r="AM42" i="49" s="1"/>
  <c r="AM47" i="49"/>
  <c r="O40" i="49"/>
  <c r="O47" i="49"/>
  <c r="AA40" i="49"/>
  <c r="AA47" i="49"/>
  <c r="AM46" i="49"/>
  <c r="N42" i="49"/>
  <c r="AO11" i="49"/>
  <c r="AN53" i="49"/>
  <c r="AL42" i="49"/>
  <c r="P11" i="49"/>
  <c r="O53" i="49"/>
  <c r="O46" i="49" s="1"/>
  <c r="L20" i="47" s="1"/>
  <c r="AA46" i="49"/>
  <c r="X20" i="47" s="1"/>
  <c r="AC11" i="49"/>
  <c r="AB53" i="49"/>
  <c r="Z42" i="49"/>
  <c r="AJ20" i="47"/>
  <c r="AO14" i="49"/>
  <c r="AN56" i="49"/>
  <c r="AC14" i="49"/>
  <c r="AB56" i="49"/>
  <c r="Q14" i="49"/>
  <c r="P56" i="49"/>
  <c r="I19" i="51"/>
  <c r="AF13" i="51"/>
  <c r="AJ13" i="51"/>
  <c r="F40" i="51"/>
  <c r="H40" i="51" s="1"/>
  <c r="F37" i="51"/>
  <c r="J25" i="51"/>
  <c r="F35" i="51"/>
  <c r="F48" i="51"/>
  <c r="H48" i="51" s="1"/>
  <c r="F41" i="51"/>
  <c r="F46" i="51"/>
  <c r="E29" i="51"/>
  <c r="G29" i="51" s="1"/>
  <c r="K25" i="51"/>
  <c r="F38" i="51"/>
  <c r="F45" i="51"/>
  <c r="H45" i="51" s="1"/>
  <c r="F33" i="51"/>
  <c r="H33" i="51" s="1"/>
  <c r="R13" i="51"/>
  <c r="W13" i="51"/>
  <c r="AB13" i="51"/>
  <c r="I25" i="51"/>
  <c r="AQ15" i="51"/>
  <c r="AQ16" i="51" s="1"/>
  <c r="O25" i="52"/>
  <c r="K20" i="51" s="1"/>
  <c r="AM25" i="52"/>
  <c r="AI20" i="51" s="1"/>
  <c r="AO8" i="52"/>
  <c r="AN12" i="52"/>
  <c r="AJ18" i="51" s="1"/>
  <c r="Q8" i="52"/>
  <c r="P12" i="52"/>
  <c r="L18" i="51" s="1"/>
  <c r="AC8" i="52"/>
  <c r="AB12" i="52"/>
  <c r="X18" i="51" s="1"/>
  <c r="S13" i="51"/>
  <c r="AA15" i="51"/>
  <c r="AA16" i="51" s="1"/>
  <c r="AC15" i="51"/>
  <c r="AC16" i="51" s="1"/>
  <c r="AK13" i="51"/>
  <c r="AJ19" i="47"/>
  <c r="L19" i="47"/>
  <c r="X19" i="47"/>
  <c r="AK19" i="51"/>
  <c r="Y19" i="51"/>
  <c r="Z19" i="51"/>
  <c r="AE19" i="51"/>
  <c r="AF19" i="51"/>
  <c r="Q19" i="51"/>
  <c r="AM19" i="51"/>
  <c r="S19" i="51"/>
  <c r="X19" i="51"/>
  <c r="AN19" i="51"/>
  <c r="T19" i="51"/>
  <c r="AB19" i="51"/>
  <c r="M19" i="51"/>
  <c r="AJ19" i="51"/>
  <c r="AC19" i="51"/>
  <c r="P19" i="51"/>
  <c r="AP19" i="51"/>
  <c r="N19" i="51"/>
  <c r="AR19" i="51"/>
  <c r="AL19" i="51"/>
  <c r="AA19" i="51"/>
  <c r="L19" i="51"/>
  <c r="R19" i="51"/>
  <c r="AD19" i="51"/>
  <c r="AQ19" i="51"/>
  <c r="U19" i="51"/>
  <c r="J19" i="51"/>
  <c r="AI19" i="51"/>
  <c r="W19" i="51"/>
  <c r="K19" i="51"/>
  <c r="J22" i="52"/>
  <c r="V19" i="51"/>
  <c r="K22" i="52"/>
  <c r="AG19" i="51"/>
  <c r="L22" i="52"/>
  <c r="AH19" i="51"/>
  <c r="G49" i="51"/>
  <c r="H49" i="51"/>
  <c r="V20" i="51"/>
  <c r="AH20" i="51"/>
  <c r="J20" i="51"/>
  <c r="W20" i="51"/>
  <c r="H47" i="51"/>
  <c r="H41" i="51"/>
  <c r="F24" i="51"/>
  <c r="H24" i="51" s="1"/>
  <c r="C44" i="54"/>
  <c r="H38" i="51"/>
  <c r="D10" i="51"/>
  <c r="H11" i="51"/>
  <c r="G11" i="51"/>
  <c r="F10" i="51"/>
  <c r="C45" i="54"/>
  <c r="H35" i="51"/>
  <c r="V13" i="51"/>
  <c r="V15" i="51"/>
  <c r="V16" i="51" s="1"/>
  <c r="O13" i="51"/>
  <c r="O15" i="51"/>
  <c r="O16" i="51" s="1"/>
  <c r="P15" i="51"/>
  <c r="P16" i="51" s="1"/>
  <c r="P13" i="51"/>
  <c r="E10" i="51"/>
  <c r="H37" i="51"/>
  <c r="L15" i="51"/>
  <c r="L16" i="51" s="1"/>
  <c r="L13" i="51"/>
  <c r="AH15" i="51"/>
  <c r="AH16" i="51" s="1"/>
  <c r="AH13" i="51"/>
  <c r="AE15" i="51"/>
  <c r="AE16" i="51" s="1"/>
  <c r="AE13" i="51"/>
  <c r="J15" i="51"/>
  <c r="J16" i="51" s="1"/>
  <c r="J13" i="51"/>
  <c r="AM15" i="51"/>
  <c r="AM16" i="51" s="1"/>
  <c r="AM13" i="51"/>
  <c r="E50" i="51"/>
  <c r="G50" i="51" s="1"/>
  <c r="C46" i="54"/>
  <c r="O31" i="51"/>
  <c r="N30" i="51"/>
  <c r="L26" i="51"/>
  <c r="L25" i="51" s="1"/>
  <c r="AP5" i="52"/>
  <c r="H46" i="51"/>
  <c r="L22" i="51"/>
  <c r="M23" i="51"/>
  <c r="E12" i="51"/>
  <c r="U15" i="51"/>
  <c r="U13" i="51"/>
  <c r="AH50" i="51"/>
  <c r="AI50" i="51" s="1"/>
  <c r="AJ50" i="51" s="1"/>
  <c r="AK50" i="51" s="1"/>
  <c r="AL50" i="51" s="1"/>
  <c r="AM50" i="51" s="1"/>
  <c r="AN50" i="51" s="1"/>
  <c r="AO50" i="51" s="1"/>
  <c r="AP50" i="51" s="1"/>
  <c r="AQ50" i="51" s="1"/>
  <c r="AR50" i="51" s="1"/>
  <c r="O43" i="51"/>
  <c r="N42" i="51"/>
  <c r="AN5" i="49"/>
  <c r="AH29" i="51"/>
  <c r="AI29" i="51" s="1"/>
  <c r="AJ29" i="51" s="1"/>
  <c r="AK29" i="51" s="1"/>
  <c r="AL29" i="51" s="1"/>
  <c r="AM29" i="51" s="1"/>
  <c r="AN29" i="51" s="1"/>
  <c r="AO29" i="51" s="1"/>
  <c r="AP29" i="51" s="1"/>
  <c r="AQ29" i="51" s="1"/>
  <c r="AR29" i="51" s="1"/>
  <c r="AG20" i="51"/>
  <c r="AG15" i="51"/>
  <c r="AG13" i="51"/>
  <c r="F12" i="51"/>
  <c r="I15" i="51"/>
  <c r="I13" i="51"/>
  <c r="D12" i="51"/>
  <c r="D13" i="51" s="1"/>
  <c r="R5" i="52"/>
  <c r="P5" i="49"/>
  <c r="AD5" i="52"/>
  <c r="I20" i="51"/>
  <c r="U20" i="51"/>
  <c r="AB5" i="49"/>
  <c r="AB40" i="49" l="1"/>
  <c r="AB47" i="49"/>
  <c r="AB46" i="49" s="1"/>
  <c r="Y20" i="47" s="1"/>
  <c r="O42" i="49"/>
  <c r="P40" i="49"/>
  <c r="P47" i="49"/>
  <c r="P46" i="49" s="1"/>
  <c r="M20" i="47" s="1"/>
  <c r="AD11" i="49"/>
  <c r="AC53" i="49"/>
  <c r="Q11" i="49"/>
  <c r="P53" i="49"/>
  <c r="AP11" i="49"/>
  <c r="AO53" i="49"/>
  <c r="AN40" i="49"/>
  <c r="AN42" i="49" s="1"/>
  <c r="AN47" i="49"/>
  <c r="AN46" i="49"/>
  <c r="AK20" i="47" s="1"/>
  <c r="AA42" i="49"/>
  <c r="AD14" i="49"/>
  <c r="AC56" i="49"/>
  <c r="R14" i="49"/>
  <c r="Q56" i="49"/>
  <c r="AP14" i="49"/>
  <c r="AO56" i="49"/>
  <c r="I58" i="51"/>
  <c r="H44" i="54"/>
  <c r="F29" i="51"/>
  <c r="H29" i="51" s="1"/>
  <c r="J58" i="51"/>
  <c r="F19" i="51"/>
  <c r="E19" i="51"/>
  <c r="D19" i="51"/>
  <c r="K58" i="51"/>
  <c r="I17" i="51"/>
  <c r="I51" i="51" s="1"/>
  <c r="AN25" i="52"/>
  <c r="AJ20" i="51" s="1"/>
  <c r="AJ17" i="51" s="1"/>
  <c r="P25" i="52"/>
  <c r="L20" i="51" s="1"/>
  <c r="L17" i="51" s="1"/>
  <c r="AD8" i="52"/>
  <c r="AC12" i="52"/>
  <c r="AC25" i="52" s="1"/>
  <c r="R8" i="52"/>
  <c r="Q12" i="52"/>
  <c r="Q25" i="52" s="1"/>
  <c r="AB25" i="52"/>
  <c r="X20" i="51" s="1"/>
  <c r="X17" i="51" s="1"/>
  <c r="AP8" i="52"/>
  <c r="AO12" i="52"/>
  <c r="AO25" i="52" s="1"/>
  <c r="M19" i="47"/>
  <c r="AK19" i="47"/>
  <c r="Y19" i="47"/>
  <c r="U17" i="51"/>
  <c r="J17" i="51"/>
  <c r="AI17" i="51"/>
  <c r="K17" i="51"/>
  <c r="AH17" i="51"/>
  <c r="W17" i="51"/>
  <c r="V17" i="51"/>
  <c r="C43" i="54"/>
  <c r="H46" i="54"/>
  <c r="H45" i="54"/>
  <c r="G10" i="51"/>
  <c r="H10" i="51"/>
  <c r="AC5" i="49"/>
  <c r="S5" i="52"/>
  <c r="AG17" i="51"/>
  <c r="AO5" i="49"/>
  <c r="U16" i="51"/>
  <c r="E15" i="51"/>
  <c r="AQ5" i="52"/>
  <c r="M26" i="51"/>
  <c r="M25" i="51" s="1"/>
  <c r="AE5" i="52"/>
  <c r="Q5" i="49"/>
  <c r="I16" i="51"/>
  <c r="D15" i="51"/>
  <c r="D16" i="51" s="1"/>
  <c r="F13" i="51"/>
  <c r="H12" i="51"/>
  <c r="AG16" i="51"/>
  <c r="F15" i="51"/>
  <c r="P43" i="51"/>
  <c r="O42" i="51"/>
  <c r="F50" i="51"/>
  <c r="H50" i="51" s="1"/>
  <c r="G12" i="51"/>
  <c r="E13" i="51"/>
  <c r="G13" i="51" s="1"/>
  <c r="N23" i="51"/>
  <c r="M22" i="51"/>
  <c r="P31" i="51"/>
  <c r="O30" i="51"/>
  <c r="Q40" i="49" l="1"/>
  <c r="Q47" i="49"/>
  <c r="AC40" i="49"/>
  <c r="AC47" i="49"/>
  <c r="AQ11" i="49"/>
  <c r="AP53" i="49"/>
  <c r="AE11" i="49"/>
  <c r="AD53" i="49"/>
  <c r="AO40" i="49"/>
  <c r="AO42" i="49" s="1"/>
  <c r="AO47" i="49"/>
  <c r="AO46" i="49"/>
  <c r="AC46" i="49"/>
  <c r="R11" i="49"/>
  <c r="Q53" i="49"/>
  <c r="P42" i="49"/>
  <c r="AB42" i="49"/>
  <c r="Q46" i="49"/>
  <c r="AL20" i="47"/>
  <c r="AQ14" i="49"/>
  <c r="AP56" i="49"/>
  <c r="N20" i="47"/>
  <c r="S14" i="49"/>
  <c r="R56" i="49"/>
  <c r="Z20" i="47"/>
  <c r="AE14" i="49"/>
  <c r="AD56" i="49"/>
  <c r="Y18" i="51"/>
  <c r="W21" i="51"/>
  <c r="U21" i="51"/>
  <c r="AG21" i="51"/>
  <c r="K21" i="51"/>
  <c r="K56" i="51"/>
  <c r="I21" i="51"/>
  <c r="AH21" i="51"/>
  <c r="AI21" i="51"/>
  <c r="L21" i="51"/>
  <c r="L56" i="51"/>
  <c r="X21" i="51"/>
  <c r="V21" i="51"/>
  <c r="J21" i="51"/>
  <c r="J56" i="51"/>
  <c r="AJ21" i="51"/>
  <c r="L58" i="51"/>
  <c r="AT13" i="33"/>
  <c r="I57" i="51"/>
  <c r="I53" i="51"/>
  <c r="I56" i="51"/>
  <c r="M18" i="51"/>
  <c r="AQ8" i="52"/>
  <c r="AP12" i="52"/>
  <c r="AP25" i="52" s="1"/>
  <c r="S8" i="52"/>
  <c r="R12" i="52"/>
  <c r="R25" i="52" s="1"/>
  <c r="AK18" i="51"/>
  <c r="AE8" i="52"/>
  <c r="AD12" i="52"/>
  <c r="AD25" i="52" s="1"/>
  <c r="Z19" i="47"/>
  <c r="AL19" i="47"/>
  <c r="N19" i="47"/>
  <c r="H43" i="54"/>
  <c r="G19" i="51"/>
  <c r="J51" i="51"/>
  <c r="J57" i="51" s="1"/>
  <c r="J53" i="51"/>
  <c r="K53" i="51"/>
  <c r="K51" i="51"/>
  <c r="K57" i="51" s="1"/>
  <c r="H19" i="51"/>
  <c r="C51" i="54"/>
  <c r="L51" i="51"/>
  <c r="L57" i="51" s="1"/>
  <c r="AK20" i="51"/>
  <c r="C48" i="54"/>
  <c r="Q31" i="51"/>
  <c r="P30" i="51"/>
  <c r="I52" i="51"/>
  <c r="M20" i="51"/>
  <c r="M58" i="51" s="1"/>
  <c r="R5" i="49"/>
  <c r="N26" i="51"/>
  <c r="N25" i="51" s="1"/>
  <c r="L53" i="51"/>
  <c r="AP5" i="49"/>
  <c r="Y20" i="51"/>
  <c r="AD5" i="49"/>
  <c r="O23" i="51"/>
  <c r="N22" i="51"/>
  <c r="Q43" i="51"/>
  <c r="P42" i="51"/>
  <c r="H15" i="51"/>
  <c r="F16" i="51"/>
  <c r="H13" i="51"/>
  <c r="AF5" i="52"/>
  <c r="V9" i="47"/>
  <c r="AR5" i="52"/>
  <c r="E16" i="51"/>
  <c r="G16" i="51" s="1"/>
  <c r="G15" i="51"/>
  <c r="T5" i="52"/>
  <c r="R40" i="49" l="1"/>
  <c r="R47" i="49"/>
  <c r="AD40" i="49"/>
  <c r="AD42" i="49" s="1"/>
  <c r="AD47" i="49"/>
  <c r="AF11" i="49"/>
  <c r="AE53" i="49"/>
  <c r="AP46" i="49"/>
  <c r="AM20" i="47" s="1"/>
  <c r="S11" i="49"/>
  <c r="R53" i="49"/>
  <c r="AC42" i="49"/>
  <c r="AP40" i="49"/>
  <c r="AP42" i="49" s="1"/>
  <c r="AP47" i="49"/>
  <c r="R46" i="49"/>
  <c r="O20" i="47" s="1"/>
  <c r="AD46" i="49"/>
  <c r="AA20" i="47" s="1"/>
  <c r="AR11" i="49"/>
  <c r="AQ53" i="49"/>
  <c r="Q42" i="49"/>
  <c r="T14" i="49"/>
  <c r="S56" i="49"/>
  <c r="AF14" i="49"/>
  <c r="AE56" i="49"/>
  <c r="AR14" i="49"/>
  <c r="AQ56" i="49"/>
  <c r="M17" i="51"/>
  <c r="M51" i="51" s="1"/>
  <c r="Y17" i="51"/>
  <c r="C53" i="54"/>
  <c r="AL18" i="51"/>
  <c r="N18" i="51"/>
  <c r="Z18" i="51"/>
  <c r="T8" i="52"/>
  <c r="S12" i="52"/>
  <c r="S25" i="52" s="1"/>
  <c r="AF8" i="52"/>
  <c r="AE12" i="52"/>
  <c r="AE25" i="52" s="1"/>
  <c r="AK17" i="51"/>
  <c r="AR8" i="52"/>
  <c r="AQ12" i="52"/>
  <c r="AQ25" i="52" s="1"/>
  <c r="O19" i="47"/>
  <c r="AM19" i="47"/>
  <c r="AA19" i="47"/>
  <c r="C61" i="54"/>
  <c r="L52" i="51"/>
  <c r="AW13" i="33"/>
  <c r="K52" i="51"/>
  <c r="AV13" i="33"/>
  <c r="J52" i="51"/>
  <c r="AU13" i="33"/>
  <c r="H51" i="54"/>
  <c r="Z20" i="51"/>
  <c r="N20" i="51"/>
  <c r="AL20" i="51"/>
  <c r="C58" i="54"/>
  <c r="H48" i="54"/>
  <c r="R43" i="51"/>
  <c r="Q42" i="51"/>
  <c r="AE5" i="49"/>
  <c r="S5" i="49"/>
  <c r="U5" i="52"/>
  <c r="AS5" i="52"/>
  <c r="AG5" i="52"/>
  <c r="H16" i="51"/>
  <c r="P23" i="51"/>
  <c r="O22" i="51"/>
  <c r="AQ5" i="49"/>
  <c r="O26" i="51"/>
  <c r="O25" i="51" s="1"/>
  <c r="R31" i="51"/>
  <c r="Q30" i="51"/>
  <c r="AQ40" i="49" l="1"/>
  <c r="AQ47" i="49"/>
  <c r="AE40" i="49"/>
  <c r="AE47" i="49"/>
  <c r="AQ46" i="49"/>
  <c r="AQ42" i="49" s="1"/>
  <c r="AS11" i="49"/>
  <c r="AR53" i="49"/>
  <c r="T11" i="49"/>
  <c r="S53" i="49"/>
  <c r="AE46" i="49"/>
  <c r="S40" i="49"/>
  <c r="S47" i="49"/>
  <c r="S46" i="49" s="1"/>
  <c r="P20" i="47" s="1"/>
  <c r="AG11" i="49"/>
  <c r="AF53" i="49"/>
  <c r="R42" i="49"/>
  <c r="AE42" i="49"/>
  <c r="AN20" i="47"/>
  <c r="AS14" i="49"/>
  <c r="AR56" i="49"/>
  <c r="AB20" i="47"/>
  <c r="AG14" i="49"/>
  <c r="AF56" i="49"/>
  <c r="U14" i="49"/>
  <c r="T56" i="49"/>
  <c r="Y21" i="51"/>
  <c r="AL17" i="51"/>
  <c r="Z17" i="51"/>
  <c r="AK21" i="51"/>
  <c r="AX13" i="33"/>
  <c r="M57" i="51"/>
  <c r="N17" i="51"/>
  <c r="N53" i="51" s="1"/>
  <c r="N58" i="51"/>
  <c r="M21" i="51"/>
  <c r="M56" i="51"/>
  <c r="M53" i="51"/>
  <c r="O18" i="51"/>
  <c r="AM18" i="51"/>
  <c r="AS8" i="52"/>
  <c r="AR12" i="52"/>
  <c r="AR25" i="52" s="1"/>
  <c r="AG8" i="52"/>
  <c r="AF12" i="52"/>
  <c r="AF25" i="52" s="1"/>
  <c r="AA18" i="51"/>
  <c r="U8" i="52"/>
  <c r="T12" i="52"/>
  <c r="T25" i="52" s="1"/>
  <c r="AN19" i="47"/>
  <c r="AB19" i="47"/>
  <c r="H58" i="54"/>
  <c r="H61" i="54"/>
  <c r="O20" i="51"/>
  <c r="O58" i="51" s="1"/>
  <c r="AM20" i="51"/>
  <c r="W8" i="47"/>
  <c r="P26" i="51"/>
  <c r="P25" i="51" s="1"/>
  <c r="AN18" i="51"/>
  <c r="T5" i="49"/>
  <c r="S43" i="51"/>
  <c r="R42" i="51"/>
  <c r="S31" i="51"/>
  <c r="R30" i="51"/>
  <c r="AR5" i="49"/>
  <c r="AH5" i="52"/>
  <c r="X9" i="47"/>
  <c r="P22" i="51"/>
  <c r="Q23" i="51"/>
  <c r="M52" i="51"/>
  <c r="AT5" i="52"/>
  <c r="V5" i="52"/>
  <c r="W9" i="47"/>
  <c r="AF5" i="49"/>
  <c r="AA20" i="51"/>
  <c r="V8" i="47"/>
  <c r="S42" i="49" l="1"/>
  <c r="AF40" i="49"/>
  <c r="AF47" i="49"/>
  <c r="P19" i="47"/>
  <c r="AF46" i="49"/>
  <c r="AC20" i="47" s="1"/>
  <c r="AR40" i="49"/>
  <c r="AR47" i="49"/>
  <c r="AR46" i="49" s="1"/>
  <c r="AO20" i="47" s="1"/>
  <c r="AH11" i="49"/>
  <c r="AG53" i="49"/>
  <c r="AT11" i="49"/>
  <c r="AS53" i="49"/>
  <c r="T40" i="49"/>
  <c r="T47" i="49"/>
  <c r="T46" i="49" s="1"/>
  <c r="U11" i="49"/>
  <c r="T53" i="49"/>
  <c r="V34" i="47"/>
  <c r="V12" i="47"/>
  <c r="AF42" i="49"/>
  <c r="W34" i="47"/>
  <c r="W12" i="47"/>
  <c r="V14" i="49"/>
  <c r="U56" i="49"/>
  <c r="AH14" i="49"/>
  <c r="AG56" i="49"/>
  <c r="AT14" i="49"/>
  <c r="AS56" i="49"/>
  <c r="V25" i="47"/>
  <c r="P9" i="33"/>
  <c r="V11" i="47"/>
  <c r="W25" i="47"/>
  <c r="Q9" i="33"/>
  <c r="W11" i="47"/>
  <c r="N51" i="51"/>
  <c r="AY13" i="33" s="1"/>
  <c r="Z21" i="51"/>
  <c r="N21" i="51"/>
  <c r="N56" i="51"/>
  <c r="AL21" i="51"/>
  <c r="AM17" i="51"/>
  <c r="O17" i="51"/>
  <c r="O56" i="51" s="1"/>
  <c r="AB18" i="51"/>
  <c r="V8" i="52"/>
  <c r="U12" i="52"/>
  <c r="U25" i="52" s="1"/>
  <c r="P18" i="51"/>
  <c r="AH8" i="52"/>
  <c r="AG12" i="52"/>
  <c r="AG25" i="52" s="1"/>
  <c r="AT8" i="52"/>
  <c r="AS12" i="52"/>
  <c r="AS25" i="52" s="1"/>
  <c r="AC19" i="47"/>
  <c r="AO19" i="47"/>
  <c r="Q19" i="47"/>
  <c r="AB20" i="51"/>
  <c r="W48" i="47"/>
  <c r="W51" i="47"/>
  <c r="V48" i="47"/>
  <c r="V51" i="47"/>
  <c r="AG5" i="49"/>
  <c r="AU5" i="52"/>
  <c r="R23" i="51"/>
  <c r="Q22" i="51"/>
  <c r="AS5" i="49"/>
  <c r="T31" i="51"/>
  <c r="D31" i="51" s="1"/>
  <c r="S30" i="51"/>
  <c r="T43" i="51"/>
  <c r="S42" i="51"/>
  <c r="AN20" i="51"/>
  <c r="W5" i="52"/>
  <c r="AI5" i="52"/>
  <c r="AA17" i="51"/>
  <c r="U5" i="49"/>
  <c r="P20" i="51"/>
  <c r="Q26" i="51"/>
  <c r="Q25" i="51" s="1"/>
  <c r="Q20" i="47" l="1"/>
  <c r="T42" i="49"/>
  <c r="AG40" i="49"/>
  <c r="AG47" i="49"/>
  <c r="AG46" i="49" s="1"/>
  <c r="AD20" i="47" s="1"/>
  <c r="V11" i="49"/>
  <c r="U53" i="49"/>
  <c r="AU11" i="49"/>
  <c r="AU53" i="49" s="1"/>
  <c r="AT53" i="49"/>
  <c r="AR42" i="49"/>
  <c r="AS40" i="49"/>
  <c r="AS47" i="49"/>
  <c r="U40" i="49"/>
  <c r="U47" i="49"/>
  <c r="U46" i="49" s="1"/>
  <c r="R20" i="47" s="1"/>
  <c r="AS46" i="49"/>
  <c r="AP20" i="47" s="1"/>
  <c r="AI11" i="49"/>
  <c r="AI53" i="49" s="1"/>
  <c r="AH53" i="49"/>
  <c r="J11" i="49"/>
  <c r="V10" i="47"/>
  <c r="P10" i="33" s="1"/>
  <c r="W10" i="47"/>
  <c r="AU14" i="49"/>
  <c r="AU56" i="49" s="1"/>
  <c r="AT56" i="49"/>
  <c r="AI14" i="49"/>
  <c r="AI56" i="49" s="1"/>
  <c r="AH56" i="49"/>
  <c r="AS42" i="49"/>
  <c r="W14" i="49"/>
  <c r="W56" i="49" s="1"/>
  <c r="V56" i="49"/>
  <c r="I14" i="49"/>
  <c r="V23" i="47"/>
  <c r="V50" i="47"/>
  <c r="W23" i="47"/>
  <c r="W50" i="47"/>
  <c r="V13" i="47"/>
  <c r="V14" i="47" s="1"/>
  <c r="D42" i="51"/>
  <c r="Q18" i="51"/>
  <c r="N52" i="51"/>
  <c r="N57" i="51"/>
  <c r="O21" i="51"/>
  <c r="AB17" i="51"/>
  <c r="P17" i="51"/>
  <c r="P56" i="51" s="1"/>
  <c r="P58" i="51"/>
  <c r="AN17" i="51"/>
  <c r="AM21" i="51"/>
  <c r="O53" i="51"/>
  <c r="O51" i="51"/>
  <c r="O52" i="51" s="1"/>
  <c r="AU8" i="52"/>
  <c r="AT12" i="52"/>
  <c r="AT25" i="52" s="1"/>
  <c r="AI8" i="52"/>
  <c r="AH12" i="52"/>
  <c r="AH25" i="52" s="1"/>
  <c r="AO18" i="51"/>
  <c r="AC18" i="51"/>
  <c r="W8" i="52"/>
  <c r="V12" i="52"/>
  <c r="V25" i="52" s="1"/>
  <c r="AP19" i="47"/>
  <c r="AD19" i="47"/>
  <c r="V16" i="47"/>
  <c r="Q20" i="51"/>
  <c r="Q58" i="51" s="1"/>
  <c r="AO20" i="51"/>
  <c r="U43" i="51"/>
  <c r="Y9" i="47"/>
  <c r="Y8" i="47"/>
  <c r="T42" i="51"/>
  <c r="U31" i="51"/>
  <c r="T30" i="51"/>
  <c r="AT5" i="49"/>
  <c r="S23" i="51"/>
  <c r="R22" i="51"/>
  <c r="AV5" i="52"/>
  <c r="V5" i="49"/>
  <c r="R26" i="51"/>
  <c r="R25" i="51" s="1"/>
  <c r="AA21" i="51"/>
  <c r="AJ5" i="52"/>
  <c r="X8" i="47"/>
  <c r="X5" i="52"/>
  <c r="AC20" i="51"/>
  <c r="AH5" i="49"/>
  <c r="AG42" i="49" l="1"/>
  <c r="K14" i="49"/>
  <c r="K11" i="49"/>
  <c r="AH40" i="49"/>
  <c r="AH47" i="49"/>
  <c r="J14" i="49"/>
  <c r="U42" i="49"/>
  <c r="V40" i="49"/>
  <c r="V47" i="49"/>
  <c r="V46" i="49" s="1"/>
  <c r="S20" i="47" s="1"/>
  <c r="AT40" i="49"/>
  <c r="AT42" i="49" s="1"/>
  <c r="AT47" i="49"/>
  <c r="R19" i="47"/>
  <c r="AH46" i="49"/>
  <c r="AE20" i="47" s="1"/>
  <c r="AT46" i="49"/>
  <c r="AQ20" i="47" s="1"/>
  <c r="W11" i="49"/>
  <c r="W53" i="49" s="1"/>
  <c r="V53" i="49"/>
  <c r="I11" i="49"/>
  <c r="X34" i="47"/>
  <c r="X12" i="47"/>
  <c r="Y34" i="47"/>
  <c r="Y12" i="47"/>
  <c r="S9" i="33"/>
  <c r="Y25" i="47"/>
  <c r="Y11" i="47"/>
  <c r="Y10" i="47" s="1"/>
  <c r="R9" i="33"/>
  <c r="X25" i="47"/>
  <c r="X11" i="47"/>
  <c r="Q10" i="33"/>
  <c r="W13" i="47"/>
  <c r="AN21" i="51"/>
  <c r="P21" i="51"/>
  <c r="P53" i="51"/>
  <c r="AB21" i="51"/>
  <c r="P51" i="51"/>
  <c r="P57" i="51" s="1"/>
  <c r="AC17" i="51"/>
  <c r="AZ13" i="33"/>
  <c r="O57" i="51"/>
  <c r="Q17" i="51"/>
  <c r="Q56" i="51" s="1"/>
  <c r="R18" i="51"/>
  <c r="AD18" i="51"/>
  <c r="AO17" i="51"/>
  <c r="X8" i="52"/>
  <c r="W12" i="52"/>
  <c r="W25" i="52" s="1"/>
  <c r="AJ8" i="52"/>
  <c r="AJ12" i="52" s="1"/>
  <c r="AJ25" i="52" s="1"/>
  <c r="AI12" i="52"/>
  <c r="AI25" i="52" s="1"/>
  <c r="K8" i="52"/>
  <c r="AP18" i="51"/>
  <c r="AV8" i="52"/>
  <c r="AU12" i="52"/>
  <c r="AU25" i="52" s="1"/>
  <c r="V17" i="47"/>
  <c r="AE19" i="47"/>
  <c r="S19" i="47"/>
  <c r="AP20" i="51"/>
  <c r="AD20" i="51"/>
  <c r="Y51" i="47"/>
  <c r="Y48" i="47"/>
  <c r="X51" i="47"/>
  <c r="X48" i="47"/>
  <c r="Z9" i="47"/>
  <c r="K5" i="52"/>
  <c r="L5" i="52"/>
  <c r="J5" i="52"/>
  <c r="V43" i="51"/>
  <c r="U42" i="51"/>
  <c r="R20" i="51"/>
  <c r="AI5" i="49"/>
  <c r="S26" i="51"/>
  <c r="S25" i="51" s="1"/>
  <c r="W5" i="49"/>
  <c r="AQ18" i="51"/>
  <c r="T23" i="51"/>
  <c r="S22" i="51"/>
  <c r="AU5" i="49"/>
  <c r="V31" i="51"/>
  <c r="U30" i="51"/>
  <c r="AI40" i="49" l="1"/>
  <c r="AI42" i="49" s="1"/>
  <c r="AI47" i="49"/>
  <c r="AI46" i="49" s="1"/>
  <c r="AF20" i="47" s="1"/>
  <c r="V42" i="49"/>
  <c r="AU40" i="49"/>
  <c r="AU47" i="49"/>
  <c r="AU46" i="49" s="1"/>
  <c r="W40" i="49"/>
  <c r="W42" i="49" s="1"/>
  <c r="W47" i="49"/>
  <c r="W46" i="49" s="1"/>
  <c r="T20" i="47" s="1"/>
  <c r="AQ19" i="47"/>
  <c r="AH42" i="49"/>
  <c r="X10" i="47"/>
  <c r="R10" i="33" s="1"/>
  <c r="X23" i="47"/>
  <c r="X50" i="47"/>
  <c r="Y23" i="47"/>
  <c r="Y50" i="47"/>
  <c r="X13" i="47"/>
  <c r="X14" i="47" s="1"/>
  <c r="AF18" i="51"/>
  <c r="S18" i="51"/>
  <c r="Q51" i="51"/>
  <c r="BB13" i="33" s="1"/>
  <c r="BA13" i="33"/>
  <c r="P52" i="51"/>
  <c r="AC21" i="51"/>
  <c r="Q53" i="51"/>
  <c r="Q21" i="51"/>
  <c r="AP17" i="51"/>
  <c r="AO21" i="51"/>
  <c r="R17" i="51"/>
  <c r="R56" i="51" s="1"/>
  <c r="R58" i="51"/>
  <c r="AD17" i="51"/>
  <c r="AV12" i="52"/>
  <c r="AV25" i="52" s="1"/>
  <c r="L8" i="52"/>
  <c r="K12" i="52"/>
  <c r="AE18" i="51"/>
  <c r="X12" i="52"/>
  <c r="J8" i="52"/>
  <c r="J12" i="52" s="1"/>
  <c r="AR19" i="47"/>
  <c r="AF19" i="47"/>
  <c r="T19" i="47"/>
  <c r="I5" i="49"/>
  <c r="AF20" i="51"/>
  <c r="AQ20" i="51"/>
  <c r="S20" i="51"/>
  <c r="S58" i="51" s="1"/>
  <c r="X16" i="47"/>
  <c r="W14" i="47"/>
  <c r="W16" i="47"/>
  <c r="AA9" i="47"/>
  <c r="W31" i="51"/>
  <c r="V30" i="51"/>
  <c r="AA8" i="47"/>
  <c r="AE20" i="51"/>
  <c r="K25" i="52"/>
  <c r="W43" i="51"/>
  <c r="V42" i="51"/>
  <c r="AR18" i="51"/>
  <c r="L12" i="52"/>
  <c r="Z8" i="47"/>
  <c r="K5" i="49"/>
  <c r="J5" i="49"/>
  <c r="T22" i="51"/>
  <c r="U23" i="51"/>
  <c r="T26" i="51"/>
  <c r="T25" i="51" s="1"/>
  <c r="AU42" i="49" l="1"/>
  <c r="AR20" i="47"/>
  <c r="K46" i="49"/>
  <c r="Z34" i="47"/>
  <c r="Z12" i="47"/>
  <c r="AA34" i="47"/>
  <c r="AA12" i="47"/>
  <c r="Z25" i="47"/>
  <c r="T9" i="33"/>
  <c r="Z11" i="47"/>
  <c r="S10" i="33"/>
  <c r="Y13" i="47"/>
  <c r="AA11" i="47"/>
  <c r="U9" i="33"/>
  <c r="AA25" i="47"/>
  <c r="E18" i="51"/>
  <c r="D18" i="51"/>
  <c r="F18" i="51"/>
  <c r="R51" i="51"/>
  <c r="BC13" i="33" s="1"/>
  <c r="Q57" i="51"/>
  <c r="Q52" i="51"/>
  <c r="AP21" i="51"/>
  <c r="R21" i="51"/>
  <c r="AQ17" i="51"/>
  <c r="AD21" i="51"/>
  <c r="R53" i="51"/>
  <c r="AE17" i="51"/>
  <c r="AF17" i="51"/>
  <c r="S17" i="51"/>
  <c r="S53" i="51" s="1"/>
  <c r="F19" i="47"/>
  <c r="X25" i="52"/>
  <c r="T20" i="51" s="1"/>
  <c r="D20" i="51" s="1"/>
  <c r="T18" i="51"/>
  <c r="Z48" i="47"/>
  <c r="Z51" i="47"/>
  <c r="X17" i="47"/>
  <c r="W17" i="47"/>
  <c r="AA48" i="47"/>
  <c r="AA51" i="47"/>
  <c r="AB9" i="47"/>
  <c r="AB8" i="47"/>
  <c r="U26" i="51"/>
  <c r="V23" i="51"/>
  <c r="U22" i="51"/>
  <c r="AR20" i="51"/>
  <c r="L25" i="52"/>
  <c r="X43" i="51"/>
  <c r="W42" i="51"/>
  <c r="X31" i="51"/>
  <c r="W30" i="51"/>
  <c r="AC8" i="47"/>
  <c r="AB34" i="47" l="1"/>
  <c r="AB12" i="47"/>
  <c r="Z10" i="47"/>
  <c r="T10" i="33" s="1"/>
  <c r="AC34" i="47"/>
  <c r="AC12" i="47"/>
  <c r="AA10" i="47"/>
  <c r="J25" i="52"/>
  <c r="AA23" i="47"/>
  <c r="AA50" i="47"/>
  <c r="Z23" i="47"/>
  <c r="Z50" i="47"/>
  <c r="AB11" i="47"/>
  <c r="V9" i="33"/>
  <c r="AB25" i="47"/>
  <c r="AC11" i="47"/>
  <c r="AC10" i="47" s="1"/>
  <c r="AC25" i="47"/>
  <c r="W9" i="33"/>
  <c r="U25" i="51"/>
  <c r="U56" i="51" s="1"/>
  <c r="U58" i="51"/>
  <c r="R52" i="51"/>
  <c r="R57" i="51"/>
  <c r="AE21" i="51"/>
  <c r="S21" i="51"/>
  <c r="AQ21" i="51"/>
  <c r="AF21" i="51"/>
  <c r="S51" i="51"/>
  <c r="S52" i="51" s="1"/>
  <c r="S56" i="51"/>
  <c r="T17" i="51"/>
  <c r="T58" i="51"/>
  <c r="F20" i="51"/>
  <c r="E20" i="51"/>
  <c r="AC51" i="47"/>
  <c r="AC48" i="47"/>
  <c r="AB51" i="47"/>
  <c r="AB48" i="47"/>
  <c r="Y14" i="47"/>
  <c r="Y16" i="47"/>
  <c r="Y31" i="51"/>
  <c r="X30" i="51"/>
  <c r="D17" i="51"/>
  <c r="AC9" i="47"/>
  <c r="AD9" i="47"/>
  <c r="H18" i="51"/>
  <c r="G18" i="51"/>
  <c r="Y43" i="51"/>
  <c r="X42" i="51"/>
  <c r="W23" i="51"/>
  <c r="V22" i="51"/>
  <c r="AR17" i="51"/>
  <c r="U53" i="51"/>
  <c r="V26" i="51"/>
  <c r="AB10" i="47" l="1"/>
  <c r="V10" i="33" s="1"/>
  <c r="Z13" i="47"/>
  <c r="Z14" i="47" s="1"/>
  <c r="AB23" i="47"/>
  <c r="AB50" i="47"/>
  <c r="AC23" i="47"/>
  <c r="AC50" i="47"/>
  <c r="Z16" i="47"/>
  <c r="U10" i="33"/>
  <c r="AA13" i="47"/>
  <c r="AB13" i="47"/>
  <c r="AB14" i="47" s="1"/>
  <c r="V25" i="51"/>
  <c r="V56" i="51" s="1"/>
  <c r="V58" i="51"/>
  <c r="T21" i="51"/>
  <c r="T56" i="51"/>
  <c r="T51" i="51"/>
  <c r="T57" i="51" s="1"/>
  <c r="T53" i="51"/>
  <c r="BD13" i="33"/>
  <c r="S57" i="51"/>
  <c r="E17" i="51"/>
  <c r="F17" i="51"/>
  <c r="F21" i="51" s="1"/>
  <c r="D21" i="51"/>
  <c r="Y17" i="47"/>
  <c r="Z17" i="47"/>
  <c r="AE9" i="47"/>
  <c r="G20" i="51"/>
  <c r="Z31" i="51"/>
  <c r="Y30" i="51"/>
  <c r="W26" i="51"/>
  <c r="V53" i="51"/>
  <c r="AR21" i="51"/>
  <c r="X23" i="51"/>
  <c r="W22" i="51"/>
  <c r="Z43" i="51"/>
  <c r="Y42" i="51"/>
  <c r="AD8" i="47"/>
  <c r="U51" i="51"/>
  <c r="H20" i="51"/>
  <c r="AD34" i="47" l="1"/>
  <c r="AD12" i="47"/>
  <c r="AB16" i="47"/>
  <c r="AB17" i="47" s="1"/>
  <c r="D51" i="51"/>
  <c r="D52" i="51" s="1"/>
  <c r="X9" i="33"/>
  <c r="AD11" i="47"/>
  <c r="AD25" i="47"/>
  <c r="W25" i="51"/>
  <c r="W56" i="51" s="1"/>
  <c r="W58" i="51"/>
  <c r="BE13" i="33"/>
  <c r="T52" i="51"/>
  <c r="H17" i="51"/>
  <c r="E21" i="51"/>
  <c r="H21" i="51" s="1"/>
  <c r="G17" i="51"/>
  <c r="BF13" i="33"/>
  <c r="U57" i="51"/>
  <c r="AA14" i="47"/>
  <c r="AA16" i="47"/>
  <c r="AD48" i="47"/>
  <c r="AD51" i="47"/>
  <c r="U52" i="51"/>
  <c r="X22" i="51"/>
  <c r="Y23" i="51"/>
  <c r="W51" i="51"/>
  <c r="X26" i="51"/>
  <c r="V51" i="51"/>
  <c r="AE8" i="47"/>
  <c r="AA43" i="51"/>
  <c r="Z42" i="51"/>
  <c r="AA31" i="51"/>
  <c r="Z30" i="51"/>
  <c r="AF9" i="47"/>
  <c r="AD10" i="47" l="1"/>
  <c r="X10" i="33" s="1"/>
  <c r="AE34" i="47"/>
  <c r="AE12" i="47"/>
  <c r="D57" i="51"/>
  <c r="AD23" i="47"/>
  <c r="AD50" i="47"/>
  <c r="W10" i="33"/>
  <c r="AC13" i="47"/>
  <c r="AE25" i="47"/>
  <c r="Y9" i="33"/>
  <c r="AE11" i="47"/>
  <c r="AD13" i="47"/>
  <c r="AD16" i="47" s="1"/>
  <c r="X25" i="51"/>
  <c r="X56" i="51" s="1"/>
  <c r="X58" i="51"/>
  <c r="G21" i="51"/>
  <c r="BG13" i="33"/>
  <c r="V57" i="51"/>
  <c r="BH13" i="33"/>
  <c r="W57" i="51"/>
  <c r="W53" i="51"/>
  <c r="AA17" i="47"/>
  <c r="AE48" i="47"/>
  <c r="AE51" i="47"/>
  <c r="V52" i="51"/>
  <c r="W52" i="51"/>
  <c r="AF8" i="47"/>
  <c r="AB43" i="51"/>
  <c r="AA42" i="51"/>
  <c r="AB31" i="51"/>
  <c r="AA30" i="51"/>
  <c r="Y26" i="51"/>
  <c r="Z23" i="51"/>
  <c r="Y22" i="51"/>
  <c r="AE10" i="47" l="1"/>
  <c r="Y10" i="33" s="1"/>
  <c r="AF34" i="47"/>
  <c r="AF12" i="47"/>
  <c r="AE23" i="47"/>
  <c r="AE50" i="47"/>
  <c r="AD14" i="47"/>
  <c r="Z9" i="33"/>
  <c r="AF25" i="47"/>
  <c r="AF11" i="47"/>
  <c r="Y25" i="51"/>
  <c r="Y56" i="51" s="1"/>
  <c r="Y58" i="51"/>
  <c r="AD17" i="47"/>
  <c r="AC14" i="47"/>
  <c r="AC16" i="47"/>
  <c r="AF51" i="47"/>
  <c r="AF48" i="47"/>
  <c r="AG8" i="47"/>
  <c r="AA23" i="51"/>
  <c r="Z22" i="51"/>
  <c r="AH9" i="47"/>
  <c r="X51" i="51"/>
  <c r="Y51" i="51"/>
  <c r="Z26" i="51"/>
  <c r="AG9" i="47"/>
  <c r="AC31" i="51"/>
  <c r="AB30" i="51"/>
  <c r="X53" i="51"/>
  <c r="AC43" i="51"/>
  <c r="AB42" i="51"/>
  <c r="AF10" i="47" l="1"/>
  <c r="Z10" i="33" s="1"/>
  <c r="AG34" i="47"/>
  <c r="AG12" i="47"/>
  <c r="AE13" i="47"/>
  <c r="AE16" i="47" s="1"/>
  <c r="AE17" i="47" s="1"/>
  <c r="AF23" i="47"/>
  <c r="AF50" i="47"/>
  <c r="AF13" i="47"/>
  <c r="AF14" i="47" s="1"/>
  <c r="AA9" i="33"/>
  <c r="AG11" i="47"/>
  <c r="AG25" i="47"/>
  <c r="AG50" i="47" s="1"/>
  <c r="Z25" i="51"/>
  <c r="Z56" i="51" s="1"/>
  <c r="Z58" i="51"/>
  <c r="BI13" i="33"/>
  <c r="X57" i="51"/>
  <c r="BJ13" i="33"/>
  <c r="Y57" i="51"/>
  <c r="AG51" i="47"/>
  <c r="AC17" i="47"/>
  <c r="AG48" i="47"/>
  <c r="Y52" i="51"/>
  <c r="Y53" i="51"/>
  <c r="X52" i="51"/>
  <c r="AB23" i="51"/>
  <c r="AA22" i="51"/>
  <c r="AD43" i="51"/>
  <c r="AC42" i="51"/>
  <c r="AD31" i="51"/>
  <c r="AC30" i="51"/>
  <c r="AA26" i="51"/>
  <c r="Z53" i="51"/>
  <c r="AF16" i="47" l="1"/>
  <c r="AE14" i="47"/>
  <c r="AG10" i="47"/>
  <c r="AG23" i="47"/>
  <c r="AA25" i="51"/>
  <c r="AA56" i="51" s="1"/>
  <c r="AA58" i="51"/>
  <c r="AF17" i="47"/>
  <c r="AH8" i="47"/>
  <c r="Z51" i="51"/>
  <c r="AE31" i="51"/>
  <c r="AD30" i="51"/>
  <c r="AE43" i="51"/>
  <c r="AD42" i="51"/>
  <c r="AB22" i="51"/>
  <c r="AC23" i="51"/>
  <c r="AA51" i="51"/>
  <c r="AB26" i="51"/>
  <c r="AI9" i="47"/>
  <c r="AI8" i="47"/>
  <c r="AH34" i="47" l="1"/>
  <c r="AH12" i="47"/>
  <c r="AI34" i="47"/>
  <c r="AI12" i="47"/>
  <c r="AH25" i="47"/>
  <c r="AH50" i="47" s="1"/>
  <c r="AB9" i="33"/>
  <c r="AH11" i="47"/>
  <c r="AH10" i="47" s="1"/>
  <c r="AA10" i="33"/>
  <c r="AG13" i="47"/>
  <c r="AI11" i="47"/>
  <c r="AC9" i="33"/>
  <c r="AI25" i="47"/>
  <c r="AB25" i="51"/>
  <c r="AB56" i="51" s="1"/>
  <c r="AB58" i="51"/>
  <c r="BK13" i="33"/>
  <c r="Z57" i="51"/>
  <c r="BL13" i="33"/>
  <c r="AA57" i="51"/>
  <c r="AJ8" i="47"/>
  <c r="AH48" i="47"/>
  <c r="AH51" i="47"/>
  <c r="AI48" i="47"/>
  <c r="AI51" i="47"/>
  <c r="AA52" i="51"/>
  <c r="Z52" i="51"/>
  <c r="AA53" i="51"/>
  <c r="AC26" i="51"/>
  <c r="AB53" i="51"/>
  <c r="AD23" i="51"/>
  <c r="AC22" i="51"/>
  <c r="AF43" i="51"/>
  <c r="AG43" i="51" s="1"/>
  <c r="AE42" i="51"/>
  <c r="AF31" i="51"/>
  <c r="AE30" i="51"/>
  <c r="AI10" i="47" l="1"/>
  <c r="AJ34" i="47"/>
  <c r="AJ12" i="47"/>
  <c r="AI23" i="47"/>
  <c r="AI50" i="47"/>
  <c r="AJ48" i="47"/>
  <c r="AJ11" i="47"/>
  <c r="AJ10" i="47" s="1"/>
  <c r="AD9" i="33"/>
  <c r="AJ25" i="47"/>
  <c r="AH23" i="47"/>
  <c r="AC25" i="51"/>
  <c r="AC56" i="51" s="1"/>
  <c r="AC58" i="51"/>
  <c r="F43" i="51"/>
  <c r="AF42" i="51"/>
  <c r="AJ51" i="47"/>
  <c r="AJ9" i="47"/>
  <c r="AG16" i="47"/>
  <c r="AG14" i="47"/>
  <c r="AB51" i="51"/>
  <c r="AE23" i="51"/>
  <c r="AD22" i="51"/>
  <c r="AC53" i="51"/>
  <c r="AD26" i="51"/>
  <c r="AK9" i="47"/>
  <c r="AK8" i="47"/>
  <c r="AG31" i="51"/>
  <c r="AF30" i="51"/>
  <c r="AH43" i="51"/>
  <c r="AI43" i="51" s="1"/>
  <c r="AJ43" i="51" s="1"/>
  <c r="AK43" i="51" s="1"/>
  <c r="AL43" i="51" s="1"/>
  <c r="AM43" i="51" s="1"/>
  <c r="AN43" i="51" s="1"/>
  <c r="AO43" i="51" s="1"/>
  <c r="AP43" i="51" s="1"/>
  <c r="AQ43" i="51" s="1"/>
  <c r="AR43" i="51" s="1"/>
  <c r="AK34" i="47" l="1"/>
  <c r="AK12" i="47"/>
  <c r="AJ23" i="47"/>
  <c r="AJ50" i="47"/>
  <c r="AK11" i="47"/>
  <c r="AK25" i="47"/>
  <c r="AK50" i="47" s="1"/>
  <c r="AE9" i="33"/>
  <c r="AB10" i="33"/>
  <c r="AH13" i="47"/>
  <c r="AC10" i="33"/>
  <c r="AI13" i="47"/>
  <c r="AD25" i="51"/>
  <c r="AD56" i="51" s="1"/>
  <c r="AD58" i="51"/>
  <c r="D43" i="51"/>
  <c r="E43" i="51"/>
  <c r="G43" i="51" s="1"/>
  <c r="AG42" i="51"/>
  <c r="BM13" i="33"/>
  <c r="AB57" i="51"/>
  <c r="AG17" i="47"/>
  <c r="AC51" i="51"/>
  <c r="AC57" i="51" s="1"/>
  <c r="AK51" i="47"/>
  <c r="AK48" i="47"/>
  <c r="AB52" i="51"/>
  <c r="AL8" i="47"/>
  <c r="AL9" i="47"/>
  <c r="AH31" i="51"/>
  <c r="AG30" i="51"/>
  <c r="AE26" i="51"/>
  <c r="AD53" i="51"/>
  <c r="AF23" i="51"/>
  <c r="AE22" i="51"/>
  <c r="AK10" i="47" l="1"/>
  <c r="AE10" i="33" s="1"/>
  <c r="AL34" i="47"/>
  <c r="AL12" i="47"/>
  <c r="AH16" i="47"/>
  <c r="AH17" i="47" s="1"/>
  <c r="AH14" i="47"/>
  <c r="AL11" i="47"/>
  <c r="AL10" i="47" s="1"/>
  <c r="AF9" i="33"/>
  <c r="AL25" i="47"/>
  <c r="AK23" i="47"/>
  <c r="AK13" i="47"/>
  <c r="AK16" i="47" s="1"/>
  <c r="AE58" i="51"/>
  <c r="AE25" i="51"/>
  <c r="AE56" i="51" s="1"/>
  <c r="AH42" i="51"/>
  <c r="AC52" i="51"/>
  <c r="BN13" i="33"/>
  <c r="AL48" i="47"/>
  <c r="AL51" i="47"/>
  <c r="AI14" i="47"/>
  <c r="AI16" i="47"/>
  <c r="AD51" i="51"/>
  <c r="AM9" i="47"/>
  <c r="AM8" i="47"/>
  <c r="AF22" i="51"/>
  <c r="AG23" i="51"/>
  <c r="AI31" i="51"/>
  <c r="AH30" i="51"/>
  <c r="AN9" i="47"/>
  <c r="H43" i="51"/>
  <c r="AE51" i="51"/>
  <c r="AF26" i="51"/>
  <c r="AM34" i="47" l="1"/>
  <c r="AM12" i="47"/>
  <c r="AL23" i="47"/>
  <c r="AL50" i="47"/>
  <c r="AK14" i="47"/>
  <c r="AF10" i="33"/>
  <c r="AL13" i="47"/>
  <c r="AL16" i="47" s="1"/>
  <c r="AD10" i="33"/>
  <c r="AJ13" i="47"/>
  <c r="AM25" i="47"/>
  <c r="AM50" i="47" s="1"/>
  <c r="AM11" i="47"/>
  <c r="AM10" i="47" s="1"/>
  <c r="AG9" i="33"/>
  <c r="AF58" i="51"/>
  <c r="AF25" i="51"/>
  <c r="AF56" i="51" s="1"/>
  <c r="AI42" i="51"/>
  <c r="BP13" i="33"/>
  <c r="AE57" i="51"/>
  <c r="BO13" i="33"/>
  <c r="AD57" i="51"/>
  <c r="AK17" i="47"/>
  <c r="AM48" i="47"/>
  <c r="AM51" i="47"/>
  <c r="AI17" i="47"/>
  <c r="AL14" i="47"/>
  <c r="AE52" i="51"/>
  <c r="AD52" i="51"/>
  <c r="AE53" i="51"/>
  <c r="AG26" i="51"/>
  <c r="AF53" i="51"/>
  <c r="AJ31" i="51"/>
  <c r="AI30" i="51"/>
  <c r="AO9" i="47"/>
  <c r="AH23" i="51"/>
  <c r="AG22" i="51"/>
  <c r="AM23" i="47" l="1"/>
  <c r="AG25" i="51"/>
  <c r="AG56" i="51" s="1"/>
  <c r="AG58" i="51"/>
  <c r="AJ42" i="51"/>
  <c r="AF51" i="51"/>
  <c r="AF57" i="51" s="1"/>
  <c r="AN8" i="47"/>
  <c r="AL17" i="47"/>
  <c r="AJ14" i="47"/>
  <c r="AJ16" i="47"/>
  <c r="AI23" i="51"/>
  <c r="AH22" i="51"/>
  <c r="AP9" i="47"/>
  <c r="AO8" i="47"/>
  <c r="AG51" i="51"/>
  <c r="AH26" i="51"/>
  <c r="AK31" i="51"/>
  <c r="AJ30" i="51"/>
  <c r="AN34" i="47" l="1"/>
  <c r="AN12" i="47"/>
  <c r="AO34" i="47"/>
  <c r="AO12" i="47"/>
  <c r="AG10" i="33"/>
  <c r="AM13" i="47"/>
  <c r="AI9" i="33"/>
  <c r="AO25" i="47"/>
  <c r="AO11" i="47"/>
  <c r="AH9" i="33"/>
  <c r="AN25" i="47"/>
  <c r="AN50" i="47" s="1"/>
  <c r="AN11" i="47"/>
  <c r="AH25" i="51"/>
  <c r="AH56" i="51" s="1"/>
  <c r="AH58" i="51"/>
  <c r="AK42" i="51"/>
  <c r="BR13" i="33"/>
  <c r="AG57" i="51"/>
  <c r="AF52" i="51"/>
  <c r="BQ13" i="33"/>
  <c r="AJ17" i="47"/>
  <c r="AO51" i="47"/>
  <c r="AO48" i="47"/>
  <c r="AN48" i="47"/>
  <c r="AN51" i="47"/>
  <c r="AQ8" i="47"/>
  <c r="AI26" i="51"/>
  <c r="AH51" i="51"/>
  <c r="E45" i="54"/>
  <c r="AG52" i="51"/>
  <c r="AL31" i="51"/>
  <c r="AK30" i="51"/>
  <c r="E44" i="54"/>
  <c r="E46" i="54"/>
  <c r="AP8" i="47"/>
  <c r="AJ23" i="51"/>
  <c r="AI22" i="51"/>
  <c r="AG53" i="51"/>
  <c r="AP34" i="47" l="1"/>
  <c r="AP12" i="47"/>
  <c r="AN10" i="47"/>
  <c r="AN13" i="47" s="1"/>
  <c r="AQ34" i="47"/>
  <c r="AQ12" i="47"/>
  <c r="AO10" i="47"/>
  <c r="AI10" i="33" s="1"/>
  <c r="AO23" i="47"/>
  <c r="AO50" i="47"/>
  <c r="AQ11" i="47"/>
  <c r="AK9" i="33"/>
  <c r="AQ25" i="47"/>
  <c r="AN23" i="47"/>
  <c r="AP11" i="47"/>
  <c r="AP10" i="47" s="1"/>
  <c r="AP13" i="47" s="1"/>
  <c r="AJ9" i="33"/>
  <c r="AP25" i="47"/>
  <c r="AI58" i="51"/>
  <c r="AI25" i="51"/>
  <c r="AI56" i="51" s="1"/>
  <c r="AL42" i="51"/>
  <c r="BS13" i="33"/>
  <c r="AH57" i="51"/>
  <c r="E43" i="54"/>
  <c r="J44" i="54"/>
  <c r="J46" i="54"/>
  <c r="D46" i="54"/>
  <c r="J45" i="54"/>
  <c r="D44" i="54"/>
  <c r="D45" i="54"/>
  <c r="AP48" i="47"/>
  <c r="AP51" i="47"/>
  <c r="AQ48" i="47"/>
  <c r="AQ51" i="47"/>
  <c r="AM14" i="47"/>
  <c r="AM16" i="47"/>
  <c r="AH53" i="51"/>
  <c r="AH52" i="51"/>
  <c r="AJ22" i="51"/>
  <c r="AK23" i="51"/>
  <c r="D51" i="54"/>
  <c r="AM31" i="51"/>
  <c r="AL30" i="51"/>
  <c r="AI51" i="51"/>
  <c r="AJ26" i="51"/>
  <c r="D50" i="54"/>
  <c r="D48" i="54"/>
  <c r="AN14" i="47" l="1"/>
  <c r="AN16" i="47"/>
  <c r="AN17" i="47" s="1"/>
  <c r="AO13" i="47"/>
  <c r="AO14" i="47" s="1"/>
  <c r="AQ10" i="47"/>
  <c r="AH10" i="33"/>
  <c r="AQ23" i="47"/>
  <c r="AQ50" i="47"/>
  <c r="AP23" i="47"/>
  <c r="AP50" i="47"/>
  <c r="I44" i="54"/>
  <c r="AJ10" i="33"/>
  <c r="D53" i="54"/>
  <c r="D55" i="54"/>
  <c r="AO16" i="47"/>
  <c r="AJ25" i="51"/>
  <c r="AJ56" i="51" s="1"/>
  <c r="AJ58" i="51"/>
  <c r="AM42" i="51"/>
  <c r="BT13" i="33"/>
  <c r="AI57" i="51"/>
  <c r="J43" i="54"/>
  <c r="E48" i="54"/>
  <c r="D60" i="54"/>
  <c r="I50" i="54"/>
  <c r="D58" i="54"/>
  <c r="I48" i="54"/>
  <c r="E51" i="54"/>
  <c r="I45" i="54"/>
  <c r="F45" i="54"/>
  <c r="D43" i="54"/>
  <c r="F44" i="54"/>
  <c r="E49" i="54"/>
  <c r="D61" i="54"/>
  <c r="I51" i="54"/>
  <c r="E50" i="54"/>
  <c r="I46" i="54"/>
  <c r="F46" i="54"/>
  <c r="AQ9" i="47"/>
  <c r="AO17" i="47"/>
  <c r="AM17" i="47"/>
  <c r="AI52" i="51"/>
  <c r="AN31" i="51"/>
  <c r="AM30" i="51"/>
  <c r="AL23" i="51"/>
  <c r="AK22" i="51"/>
  <c r="AI53" i="51"/>
  <c r="AK26" i="51"/>
  <c r="AJ53" i="51"/>
  <c r="AR9" i="47"/>
  <c r="F9" i="47" s="1"/>
  <c r="E55" i="54" l="1"/>
  <c r="E53" i="54"/>
  <c r="E54" i="54"/>
  <c r="AK58" i="51"/>
  <c r="AK25" i="51"/>
  <c r="AK56" i="51" s="1"/>
  <c r="AN42" i="51"/>
  <c r="F48" i="54"/>
  <c r="F51" i="54"/>
  <c r="AR8" i="47"/>
  <c r="E60" i="54"/>
  <c r="J50" i="54"/>
  <c r="I61" i="54"/>
  <c r="K44" i="54"/>
  <c r="K45" i="54"/>
  <c r="I60" i="54"/>
  <c r="J51" i="54"/>
  <c r="E61" i="54"/>
  <c r="I58" i="54"/>
  <c r="K46" i="54"/>
  <c r="J49" i="54"/>
  <c r="E59" i="54"/>
  <c r="F43" i="54"/>
  <c r="E47" i="54"/>
  <c r="E58" i="54"/>
  <c r="J48" i="54"/>
  <c r="I43" i="54"/>
  <c r="AP14" i="47"/>
  <c r="AP16" i="47"/>
  <c r="AJ51" i="51"/>
  <c r="AK53" i="51"/>
  <c r="AL26" i="51"/>
  <c r="AM23" i="51"/>
  <c r="AL22" i="51"/>
  <c r="AO31" i="51"/>
  <c r="AN30" i="51"/>
  <c r="AR34" i="47" l="1"/>
  <c r="AR12" i="47"/>
  <c r="F12" i="47" s="1"/>
  <c r="AK10" i="33"/>
  <c r="AQ13" i="47"/>
  <c r="F58" i="54"/>
  <c r="AR11" i="47"/>
  <c r="AR25" i="47"/>
  <c r="AR50" i="47" s="1"/>
  <c r="F50" i="47" s="1"/>
  <c r="AL9" i="33"/>
  <c r="F34" i="47"/>
  <c r="F8" i="47"/>
  <c r="E79" i="54" s="1"/>
  <c r="AL25" i="51"/>
  <c r="AL56" i="51" s="1"/>
  <c r="AL58" i="51"/>
  <c r="AO42" i="51"/>
  <c r="BU13" i="33"/>
  <c r="AJ57" i="51"/>
  <c r="F61" i="54"/>
  <c r="K51" i="54"/>
  <c r="AR51" i="47"/>
  <c r="F51" i="47" s="1"/>
  <c r="AR48" i="47"/>
  <c r="F48" i="47" s="1"/>
  <c r="J47" i="54"/>
  <c r="E57" i="54"/>
  <c r="J60" i="54"/>
  <c r="J58" i="54"/>
  <c r="K48" i="54"/>
  <c r="J59" i="54"/>
  <c r="J61" i="54"/>
  <c r="K43" i="54"/>
  <c r="AP17" i="47"/>
  <c r="E12" i="62"/>
  <c r="AK51" i="51"/>
  <c r="AP31" i="51"/>
  <c r="AO30" i="51"/>
  <c r="AN23" i="51"/>
  <c r="AM22" i="51"/>
  <c r="AM26" i="51"/>
  <c r="AL51" i="51"/>
  <c r="AJ52" i="51"/>
  <c r="F11" i="47" l="1"/>
  <c r="E6" i="62" s="1"/>
  <c r="AR10" i="47"/>
  <c r="E8" i="62"/>
  <c r="E40" i="62"/>
  <c r="AR23" i="47"/>
  <c r="F23" i="47" s="1"/>
  <c r="F25" i="47"/>
  <c r="E26" i="62"/>
  <c r="AM25" i="51"/>
  <c r="AM56" i="51" s="1"/>
  <c r="AM58" i="51"/>
  <c r="AP42" i="51"/>
  <c r="E42" i="62"/>
  <c r="BV13" i="33"/>
  <c r="AK57" i="51"/>
  <c r="BW13" i="33"/>
  <c r="AL57" i="51"/>
  <c r="F20" i="47"/>
  <c r="E3" i="62"/>
  <c r="K61" i="54"/>
  <c r="K58" i="54"/>
  <c r="J57" i="54"/>
  <c r="AQ14" i="47"/>
  <c r="AQ16" i="47"/>
  <c r="AK52" i="51"/>
  <c r="AL52" i="51"/>
  <c r="AL53" i="51"/>
  <c r="AN22" i="51"/>
  <c r="AO23" i="51"/>
  <c r="AQ31" i="51"/>
  <c r="AP30" i="51"/>
  <c r="AM51" i="51"/>
  <c r="AN26" i="51"/>
  <c r="E10" i="62" l="1"/>
  <c r="AL10" i="33"/>
  <c r="F10" i="47"/>
  <c r="AR13" i="47"/>
  <c r="F13" i="47" s="1"/>
  <c r="F14" i="47" s="1"/>
  <c r="AN25" i="51"/>
  <c r="AN56" i="51" s="1"/>
  <c r="AN58" i="51"/>
  <c r="AQ42" i="51"/>
  <c r="BX13" i="33"/>
  <c r="AM57" i="51"/>
  <c r="E9" i="62"/>
  <c r="E23" i="62"/>
  <c r="E25" i="62"/>
  <c r="E33" i="62"/>
  <c r="E35" i="62"/>
  <c r="E29" i="62"/>
  <c r="E37" i="62"/>
  <c r="E27" i="62"/>
  <c r="E41" i="62"/>
  <c r="E21" i="62"/>
  <c r="E17" i="62"/>
  <c r="E13" i="62"/>
  <c r="E43" i="62"/>
  <c r="E7" i="62"/>
  <c r="AQ17" i="47"/>
  <c r="AM52" i="51"/>
  <c r="AM53" i="51"/>
  <c r="AP23" i="51"/>
  <c r="AO22" i="51"/>
  <c r="AO26" i="51"/>
  <c r="AN51" i="51"/>
  <c r="AR31" i="51"/>
  <c r="AQ30" i="51"/>
  <c r="E4" i="62" l="1"/>
  <c r="AR14" i="47"/>
  <c r="AR16" i="47"/>
  <c r="F16" i="47" s="1"/>
  <c r="E11" i="62"/>
  <c r="AO25" i="51"/>
  <c r="AO56" i="51" s="1"/>
  <c r="AO58" i="51"/>
  <c r="E31" i="51"/>
  <c r="G31" i="51" s="1"/>
  <c r="F31" i="51"/>
  <c r="AR42" i="51"/>
  <c r="BY13" i="33"/>
  <c r="AN57" i="51"/>
  <c r="AN52" i="51"/>
  <c r="AN53" i="51"/>
  <c r="AR30" i="51"/>
  <c r="AO53" i="51"/>
  <c r="AP26" i="51"/>
  <c r="AQ23" i="51"/>
  <c r="AP22" i="51"/>
  <c r="F17" i="47" l="1"/>
  <c r="E80" i="54"/>
  <c r="E81" i="54" s="1"/>
  <c r="E5" i="62"/>
  <c r="AR17" i="47"/>
  <c r="AP25" i="51"/>
  <c r="AP56" i="51" s="1"/>
  <c r="AP58" i="51"/>
  <c r="E30" i="51"/>
  <c r="F30" i="51"/>
  <c r="E42" i="51"/>
  <c r="F42" i="51"/>
  <c r="H31" i="51"/>
  <c r="AO51" i="51"/>
  <c r="AR23" i="51"/>
  <c r="AQ22" i="51"/>
  <c r="D30" i="51"/>
  <c r="AQ26" i="51"/>
  <c r="AP51" i="51"/>
  <c r="D23" i="51" l="1"/>
  <c r="D22" i="51" s="1"/>
  <c r="E23" i="51"/>
  <c r="E22" i="51" s="1"/>
  <c r="F23" i="51"/>
  <c r="F22" i="51" s="1"/>
  <c r="AQ58" i="51"/>
  <c r="AQ25" i="51"/>
  <c r="AQ56" i="51" s="1"/>
  <c r="H42" i="51"/>
  <c r="G42" i="51"/>
  <c r="CA13" i="33"/>
  <c r="AP57" i="51"/>
  <c r="BZ13" i="33"/>
  <c r="AO57" i="51"/>
  <c r="H30" i="51"/>
  <c r="AP52" i="51"/>
  <c r="AO52" i="51"/>
  <c r="AP53" i="51"/>
  <c r="G30" i="51"/>
  <c r="AQ51" i="51"/>
  <c r="AR26" i="51"/>
  <c r="AR22" i="51"/>
  <c r="D26" i="51" l="1"/>
  <c r="D58" i="51" s="1"/>
  <c r="E26" i="51"/>
  <c r="E58" i="51" s="1"/>
  <c r="F26" i="51"/>
  <c r="F58" i="51" s="1"/>
  <c r="AR58" i="51"/>
  <c r="AR25" i="51"/>
  <c r="AR56" i="51" s="1"/>
  <c r="CB13" i="33"/>
  <c r="AQ57" i="51"/>
  <c r="AQ52" i="51"/>
  <c r="AQ53" i="51"/>
  <c r="H23" i="51"/>
  <c r="G23" i="51"/>
  <c r="AR51" i="51" l="1"/>
  <c r="CC13" i="33" s="1"/>
  <c r="G26" i="51"/>
  <c r="E51" i="51"/>
  <c r="E57" i="51" s="1"/>
  <c r="H26" i="51"/>
  <c r="D25" i="51"/>
  <c r="E25" i="51"/>
  <c r="E56" i="51" s="1"/>
  <c r="F25" i="51"/>
  <c r="F56" i="51" s="1"/>
  <c r="AR53" i="51"/>
  <c r="F51" i="51" l="1"/>
  <c r="F57" i="51" s="1"/>
  <c r="AR57" i="51"/>
  <c r="AR52" i="51"/>
  <c r="D53" i="51"/>
  <c r="D56" i="51"/>
  <c r="G25" i="51"/>
  <c r="E53" i="51"/>
  <c r="H25" i="51"/>
  <c r="E52" i="51"/>
  <c r="G52" i="51" s="1"/>
  <c r="G51" i="51"/>
  <c r="H51" i="51" l="1"/>
  <c r="E28" i="54"/>
  <c r="F52" i="51"/>
  <c r="H52" i="51" s="1"/>
  <c r="F53" i="51"/>
  <c r="H22" i="51"/>
  <c r="G22" i="51"/>
  <c r="AN20" i="33" l="1"/>
  <c r="AO20" i="33"/>
  <c r="CD20" i="33"/>
  <c r="E30" i="54" s="1"/>
  <c r="CE20" i="33"/>
  <c r="CF20" i="33"/>
  <c r="CG20" i="33" l="1"/>
  <c r="AP20" i="33"/>
  <c r="E25" i="54" l="1"/>
  <c r="AV89" i="33" l="1"/>
  <c r="AV88" i="33"/>
  <c r="AV87" i="33"/>
  <c r="AV86" i="33"/>
  <c r="E89" i="33"/>
  <c r="E88" i="33"/>
  <c r="E87" i="33"/>
  <c r="E86" i="33"/>
  <c r="B6" i="33"/>
  <c r="E80" i="33" l="1"/>
  <c r="E79" i="33"/>
  <c r="E78" i="33"/>
  <c r="AV78" i="33"/>
  <c r="E81" i="33"/>
  <c r="AV81" i="33"/>
  <c r="AV79" i="33"/>
  <c r="AV80" i="33"/>
  <c r="P11" i="33" l="1"/>
  <c r="P12" i="33" l="1"/>
  <c r="Q11" i="33"/>
  <c r="Q12" i="33" l="1"/>
  <c r="R11" i="33"/>
  <c r="R12" i="33" l="1"/>
  <c r="S11" i="33" l="1"/>
  <c r="S12" i="33" s="1"/>
  <c r="T11" i="33"/>
  <c r="T12" i="33" s="1"/>
  <c r="V11" i="33" l="1"/>
  <c r="V12" i="33" s="1"/>
  <c r="U11" i="33"/>
  <c r="U12" i="33" l="1"/>
  <c r="X11" i="33" l="1"/>
  <c r="X12" i="33" s="1"/>
  <c r="W11" i="33"/>
  <c r="Y11" i="33" l="1"/>
  <c r="W12" i="33"/>
  <c r="Y12" i="33" l="1"/>
  <c r="AB11" i="33" l="1"/>
  <c r="AC11" i="33"/>
  <c r="AC12" i="33" s="1"/>
  <c r="Z11" i="33"/>
  <c r="AB12" i="33" l="1"/>
  <c r="Z12" i="33"/>
  <c r="AD11" i="33" l="1"/>
  <c r="AA11" i="33"/>
  <c r="AD12" i="33" l="1"/>
  <c r="AA12" i="33"/>
  <c r="AE11" i="33" l="1"/>
  <c r="AE12" i="33" l="1"/>
  <c r="AG11" i="33"/>
  <c r="AG12" i="33" l="1"/>
  <c r="AF11" i="33"/>
  <c r="AH11" i="33"/>
  <c r="AF12" i="33" l="1"/>
  <c r="AH12" i="33"/>
  <c r="AI11" i="33" l="1"/>
  <c r="AI12" i="33" s="1"/>
  <c r="AJ11" i="33"/>
  <c r="AJ12" i="33" l="1"/>
  <c r="AK11" i="33"/>
  <c r="AK12" i="33" l="1"/>
  <c r="AO10" i="33" l="1"/>
  <c r="AO9" i="33"/>
  <c r="AL11" i="33" l="1"/>
  <c r="AL12" i="33" s="1"/>
  <c r="AO11" i="33"/>
  <c r="AO12" i="33" l="1"/>
  <c r="AT11" i="33" l="1"/>
  <c r="AT12" i="33" l="1"/>
  <c r="CD9" i="33" l="1"/>
  <c r="BH11" i="33"/>
  <c r="BH12" i="33" s="1"/>
  <c r="CE9" i="33" l="1"/>
  <c r="BF11" i="33"/>
  <c r="BF12" i="33" s="1"/>
  <c r="BX11" i="33"/>
  <c r="BX12" i="33" s="1"/>
  <c r="BG11" i="33"/>
  <c r="BG12" i="33" s="1"/>
  <c r="BP11" i="33"/>
  <c r="BP12" i="33" s="1"/>
  <c r="BZ11" i="33"/>
  <c r="BZ12" i="33" s="1"/>
  <c r="BY11" i="33"/>
  <c r="BY12" i="33" s="1"/>
  <c r="BB11" i="33"/>
  <c r="BB12" i="33" s="1"/>
  <c r="AX11" i="33"/>
  <c r="AX12" i="33" s="1"/>
  <c r="BO11" i="33"/>
  <c r="BO12" i="33" s="1"/>
  <c r="BK11" i="33"/>
  <c r="BK12" i="33" s="1"/>
  <c r="CE10" i="33"/>
  <c r="BT11" i="33"/>
  <c r="BT12" i="33" s="1"/>
  <c r="BU11" i="33"/>
  <c r="BU12" i="33" s="1"/>
  <c r="CD10" i="33"/>
  <c r="BQ11" i="33"/>
  <c r="BC11" i="33"/>
  <c r="CC11" i="33"/>
  <c r="BS11" i="33"/>
  <c r="BL11" i="33"/>
  <c r="BW11" i="33"/>
  <c r="BN11" i="33"/>
  <c r="BA11" i="33"/>
  <c r="BI11" i="33"/>
  <c r="BJ11" i="33"/>
  <c r="BV11" i="33"/>
  <c r="CF9" i="33"/>
  <c r="AV11" i="33"/>
  <c r="AU11" i="33"/>
  <c r="CB11" i="33"/>
  <c r="BM11" i="33"/>
  <c r="CA11" i="33"/>
  <c r="AY11" i="33"/>
  <c r="BE11" i="33"/>
  <c r="AW11" i="33"/>
  <c r="AZ11" i="33"/>
  <c r="BD11" i="33"/>
  <c r="CE11" i="33" l="1"/>
  <c r="CE12" i="33" s="1"/>
  <c r="BJ12" i="33"/>
  <c r="BD12" i="33"/>
  <c r="CF10" i="33"/>
  <c r="CG10" i="33" s="1"/>
  <c r="AZ12" i="33"/>
  <c r="AY12" i="33"/>
  <c r="BM12" i="33"/>
  <c r="BW12" i="33"/>
  <c r="CD11" i="33"/>
  <c r="BC12" i="33"/>
  <c r="BQ12" i="33"/>
  <c r="BE12" i="33"/>
  <c r="AU12" i="33"/>
  <c r="BV12" i="33"/>
  <c r="BN12" i="33"/>
  <c r="BL12" i="33"/>
  <c r="CC12" i="33"/>
  <c r="BA12" i="33"/>
  <c r="AW12" i="33"/>
  <c r="CA12" i="33"/>
  <c r="CB12" i="33"/>
  <c r="AV12" i="33"/>
  <c r="BR11" i="33"/>
  <c r="BI12" i="33"/>
  <c r="BS12" i="33"/>
  <c r="CG9" i="33"/>
  <c r="CF11" i="33" l="1"/>
  <c r="CF12" i="33" s="1"/>
  <c r="CD12" i="33"/>
  <c r="AS9" i="33"/>
  <c r="BR12" i="33"/>
  <c r="CG11" i="33" l="1"/>
  <c r="CG12" i="33" s="1"/>
  <c r="AT14" i="33" l="1"/>
  <c r="AT15" i="33" l="1"/>
  <c r="AT16" i="33"/>
  <c r="AT17" i="33" s="1"/>
  <c r="AT19" i="33" s="1"/>
  <c r="AT21" i="33" s="1"/>
  <c r="AT26" i="33" l="1"/>
  <c r="AT22" i="33"/>
  <c r="AY14" i="33" l="1"/>
  <c r="AX14" i="33"/>
  <c r="AV14" i="33"/>
  <c r="AY16" i="33" l="1"/>
  <c r="AY17" i="33" s="1"/>
  <c r="AY19" i="33" s="1"/>
  <c r="AY21" i="33" s="1"/>
  <c r="AY15" i="33"/>
  <c r="AV16" i="33"/>
  <c r="AV17" i="33" s="1"/>
  <c r="AV19" i="33" s="1"/>
  <c r="AV21" i="33" s="1"/>
  <c r="AV15" i="33"/>
  <c r="AW14" i="33"/>
  <c r="AX15" i="33"/>
  <c r="AX16" i="33"/>
  <c r="AX17" i="33" s="1"/>
  <c r="AX19" i="33" s="1"/>
  <c r="AX21" i="33" s="1"/>
  <c r="AU14" i="33"/>
  <c r="AU16" i="33" l="1"/>
  <c r="AU17" i="33" s="1"/>
  <c r="AU19" i="33" s="1"/>
  <c r="AU21" i="33" s="1"/>
  <c r="AU15" i="33"/>
  <c r="AW15" i="33"/>
  <c r="AW16" i="33"/>
  <c r="AW17" i="33" s="1"/>
  <c r="AW19" i="33" s="1"/>
  <c r="AW21" i="33" s="1"/>
  <c r="AV26" i="33" l="1"/>
  <c r="AU26" i="33"/>
  <c r="AW26" i="33"/>
  <c r="AX26" i="33"/>
  <c r="AY26" i="33"/>
  <c r="AU22" i="33"/>
  <c r="AV22" i="33" s="1"/>
  <c r="AW22" i="33" s="1"/>
  <c r="AX22" i="33" s="1"/>
  <c r="AY22" i="33" s="1"/>
  <c r="AZ14" i="33" l="1"/>
  <c r="BI14" i="33" l="1"/>
  <c r="BE14" i="33"/>
  <c r="AZ15" i="33"/>
  <c r="AZ16" i="33"/>
  <c r="AZ17" i="33" s="1"/>
  <c r="AZ19" i="33" s="1"/>
  <c r="AZ21" i="33" s="1"/>
  <c r="BT14" i="33" l="1"/>
  <c r="BQ14" i="33"/>
  <c r="BQ15" i="33" s="1"/>
  <c r="CC14" i="33"/>
  <c r="CC15" i="33" s="1"/>
  <c r="BB14" i="33"/>
  <c r="BU14" i="33"/>
  <c r="BU15" i="33" s="1"/>
  <c r="BP14" i="33"/>
  <c r="BP15" i="33" s="1"/>
  <c r="BK14" i="33"/>
  <c r="BK15" i="33" s="1"/>
  <c r="CB14" i="33"/>
  <c r="CB15" i="33" s="1"/>
  <c r="BL14" i="33"/>
  <c r="AZ26" i="33"/>
  <c r="AZ22" i="33"/>
  <c r="BI16" i="33"/>
  <c r="BI17" i="33" s="1"/>
  <c r="BI19" i="33" s="1"/>
  <c r="BI21" i="33" s="1"/>
  <c r="BI15" i="33"/>
  <c r="BO14" i="33"/>
  <c r="BE16" i="33"/>
  <c r="BE17" i="33" s="1"/>
  <c r="BE19" i="33" s="1"/>
  <c r="BE21" i="33" s="1"/>
  <c r="BE15" i="33"/>
  <c r="BN14" i="33"/>
  <c r="BZ14" i="33"/>
  <c r="BD14" i="33"/>
  <c r="CA14" i="33"/>
  <c r="BA14" i="33" l="1"/>
  <c r="BA16" i="33" s="1"/>
  <c r="BA17" i="33" s="1"/>
  <c r="BA19" i="33" s="1"/>
  <c r="BA21" i="33" s="1"/>
  <c r="BX14" i="33"/>
  <c r="BX16" i="33" s="1"/>
  <c r="BX17" i="33" s="1"/>
  <c r="BX19" i="33" s="1"/>
  <c r="BX21" i="33" s="1"/>
  <c r="BQ16" i="33"/>
  <c r="BQ17" i="33" s="1"/>
  <c r="BQ19" i="33" s="1"/>
  <c r="BQ21" i="33" s="1"/>
  <c r="CC16" i="33"/>
  <c r="CC17" i="33" s="1"/>
  <c r="CC19" i="33" s="1"/>
  <c r="CC21" i="33" s="1"/>
  <c r="BG14" i="33"/>
  <c r="BG15" i="33" s="1"/>
  <c r="BK16" i="33"/>
  <c r="BK17" i="33" s="1"/>
  <c r="BK19" i="33" s="1"/>
  <c r="BK21" i="33" s="1"/>
  <c r="BU16" i="33"/>
  <c r="BU17" i="33" s="1"/>
  <c r="BU19" i="33" s="1"/>
  <c r="BU21" i="33" s="1"/>
  <c r="BV14" i="33"/>
  <c r="BV15" i="33" s="1"/>
  <c r="BP16" i="33"/>
  <c r="BP17" i="33" s="1"/>
  <c r="BP19" i="33" s="1"/>
  <c r="BP21" i="33" s="1"/>
  <c r="BM14" i="33"/>
  <c r="BM16" i="33" s="1"/>
  <c r="BM17" i="33" s="1"/>
  <c r="BM19" i="33" s="1"/>
  <c r="BM21" i="33" s="1"/>
  <c r="BJ14" i="33"/>
  <c r="BJ16" i="33" s="1"/>
  <c r="BJ17" i="33" s="1"/>
  <c r="BJ19" i="33" s="1"/>
  <c r="BJ21" i="33" s="1"/>
  <c r="CB16" i="33"/>
  <c r="CB17" i="33" s="1"/>
  <c r="CB19" i="33" s="1"/>
  <c r="CB21" i="33" s="1"/>
  <c r="BL15" i="33"/>
  <c r="BL16" i="33"/>
  <c r="BL17" i="33" s="1"/>
  <c r="BL19" i="33" s="1"/>
  <c r="BL21" i="33" s="1"/>
  <c r="BC14" i="33"/>
  <c r="CD13" i="33"/>
  <c r="CA16" i="33"/>
  <c r="CA17" i="33" s="1"/>
  <c r="CA19" i="33" s="1"/>
  <c r="CA21" i="33" s="1"/>
  <c r="CA15" i="33"/>
  <c r="BB16" i="33"/>
  <c r="BB17" i="33" s="1"/>
  <c r="BB19" i="33" s="1"/>
  <c r="BB21" i="33" s="1"/>
  <c r="BB15" i="33"/>
  <c r="BN15" i="33"/>
  <c r="BN16" i="33"/>
  <c r="BN17" i="33" s="1"/>
  <c r="BN19" i="33" s="1"/>
  <c r="BN21" i="33" s="1"/>
  <c r="BD16" i="33"/>
  <c r="BD17" i="33" s="1"/>
  <c r="BD19" i="33" s="1"/>
  <c r="BD21" i="33" s="1"/>
  <c r="BD15" i="33"/>
  <c r="BS14" i="33"/>
  <c r="BH14" i="33"/>
  <c r="BR14" i="33"/>
  <c r="CF13" i="33"/>
  <c r="CF14" i="33" s="1"/>
  <c r="BZ16" i="33"/>
  <c r="BZ17" i="33" s="1"/>
  <c r="BZ19" i="33" s="1"/>
  <c r="BZ21" i="33" s="1"/>
  <c r="BZ15" i="33"/>
  <c r="BW14" i="33"/>
  <c r="BT16" i="33"/>
  <c r="BT17" i="33" s="1"/>
  <c r="BT19" i="33" s="1"/>
  <c r="BT21" i="33" s="1"/>
  <c r="BT15" i="33"/>
  <c r="BO15" i="33"/>
  <c r="BO16" i="33"/>
  <c r="BO17" i="33" s="1"/>
  <c r="BO19" i="33" s="1"/>
  <c r="BO21" i="33" s="1"/>
  <c r="BY14" i="33"/>
  <c r="BA15" i="33" l="1"/>
  <c r="BX15" i="33"/>
  <c r="BG16" i="33"/>
  <c r="BG17" i="33" s="1"/>
  <c r="BG19" i="33" s="1"/>
  <c r="BG21" i="33" s="1"/>
  <c r="BV16" i="33"/>
  <c r="BV17" i="33" s="1"/>
  <c r="BV19" i="33" s="1"/>
  <c r="BV21" i="33" s="1"/>
  <c r="BM15" i="33"/>
  <c r="BJ15" i="33"/>
  <c r="BW15" i="33"/>
  <c r="BW16" i="33"/>
  <c r="BW17" i="33" s="1"/>
  <c r="BW19" i="33" s="1"/>
  <c r="BW21" i="33" s="1"/>
  <c r="CD14" i="33"/>
  <c r="BR15" i="33"/>
  <c r="BR16" i="33"/>
  <c r="BR17" i="33" s="1"/>
  <c r="BR19" i="33" s="1"/>
  <c r="BR21" i="33" s="1"/>
  <c r="BB26" i="33"/>
  <c r="BA26" i="33"/>
  <c r="BA22" i="33"/>
  <c r="BB22" i="33" s="1"/>
  <c r="BY16" i="33"/>
  <c r="BY17" i="33" s="1"/>
  <c r="BY19" i="33" s="1"/>
  <c r="BY21" i="33" s="1"/>
  <c r="BY15" i="33"/>
  <c r="BH16" i="33"/>
  <c r="BH17" i="33" s="1"/>
  <c r="BH19" i="33" s="1"/>
  <c r="BH21" i="33" s="1"/>
  <c r="BH15" i="33"/>
  <c r="BS16" i="33"/>
  <c r="BS17" i="33" s="1"/>
  <c r="BS19" i="33" s="1"/>
  <c r="BS21" i="33" s="1"/>
  <c r="BS15" i="33"/>
  <c r="BC16" i="33"/>
  <c r="BC17" i="33" s="1"/>
  <c r="BC19" i="33" s="1"/>
  <c r="BC21" i="33" s="1"/>
  <c r="BC15" i="33"/>
  <c r="CF16" i="33"/>
  <c r="CF17" i="33" s="1"/>
  <c r="CF19" i="33" s="1"/>
  <c r="CF21" i="33" s="1"/>
  <c r="CF15" i="33"/>
  <c r="BF14" i="33"/>
  <c r="CE13" i="33"/>
  <c r="CE14" i="33" s="1"/>
  <c r="BE26" i="33" l="1"/>
  <c r="CD15" i="33"/>
  <c r="CG14" i="33"/>
  <c r="CD16" i="33"/>
  <c r="CD17" i="33" s="1"/>
  <c r="BF16" i="33"/>
  <c r="BF17" i="33" s="1"/>
  <c r="BF19" i="33" s="1"/>
  <c r="BF21" i="33" s="1"/>
  <c r="BN26" i="33" s="1"/>
  <c r="BF15" i="33"/>
  <c r="BC22" i="33"/>
  <c r="BD22" i="33" s="1"/>
  <c r="BE22" i="33" s="1"/>
  <c r="BD26" i="33"/>
  <c r="BC26" i="33"/>
  <c r="CG13" i="33"/>
  <c r="CE15" i="33"/>
  <c r="CE16" i="33"/>
  <c r="CE17" i="33" s="1"/>
  <c r="CE19" i="33" s="1"/>
  <c r="CE21" i="33" s="1"/>
  <c r="BJ26" i="33" l="1"/>
  <c r="BV26" i="33"/>
  <c r="BH26" i="33"/>
  <c r="BY26" i="33"/>
  <c r="CB26" i="33"/>
  <c r="CC26" i="33"/>
  <c r="BT26" i="33"/>
  <c r="BR26" i="33"/>
  <c r="CG17" i="33"/>
  <c r="CD19" i="33"/>
  <c r="CD22" i="33"/>
  <c r="BF22" i="33"/>
  <c r="BG22" i="33" s="1"/>
  <c r="BH22" i="33" s="1"/>
  <c r="BI22" i="33" s="1"/>
  <c r="BJ22" i="33" s="1"/>
  <c r="BK22" i="33" s="1"/>
  <c r="BL22" i="33" s="1"/>
  <c r="BM22" i="33" s="1"/>
  <c r="BN22" i="33" s="1"/>
  <c r="BO22" i="33" s="1"/>
  <c r="BP22" i="33" s="1"/>
  <c r="BQ22" i="33" s="1"/>
  <c r="BR22" i="33" s="1"/>
  <c r="BS22" i="33" s="1"/>
  <c r="BT22" i="33" s="1"/>
  <c r="BU22" i="33" s="1"/>
  <c r="BV22" i="33" s="1"/>
  <c r="BW22" i="33" s="1"/>
  <c r="BX22" i="33" s="1"/>
  <c r="BY22" i="33" s="1"/>
  <c r="BZ22" i="33" s="1"/>
  <c r="CA22" i="33" s="1"/>
  <c r="CB22" i="33" s="1"/>
  <c r="CC22" i="33" s="1"/>
  <c r="BI26" i="33"/>
  <c r="BW26" i="33"/>
  <c r="BS26" i="33"/>
  <c r="BG26" i="33"/>
  <c r="BM26" i="33"/>
  <c r="BP26" i="33"/>
  <c r="BZ26" i="33"/>
  <c r="CG16" i="33"/>
  <c r="BQ26" i="33"/>
  <c r="BK26" i="33"/>
  <c r="AS14" i="33"/>
  <c r="CG15" i="33"/>
  <c r="AS15" i="33" s="1"/>
  <c r="BX26" i="33"/>
  <c r="BU26" i="33"/>
  <c r="BF26" i="33"/>
  <c r="BL26" i="33"/>
  <c r="CA26" i="33"/>
  <c r="BO26" i="33"/>
  <c r="CE22" i="33" l="1"/>
  <c r="CG19" i="33"/>
  <c r="AS28" i="33" s="1"/>
  <c r="CD21" i="33"/>
  <c r="CF22" i="33" l="1"/>
  <c r="AS26" i="33" s="1"/>
  <c r="E35" i="54"/>
  <c r="CG21" i="33"/>
  <c r="AS24" i="33"/>
  <c r="AS25" i="33"/>
  <c r="CG22" i="33" l="1"/>
  <c r="AS22" i="33" s="1"/>
  <c r="E31" i="54"/>
  <c r="E34" i="54"/>
  <c r="E33" i="54"/>
  <c r="AS27" i="33"/>
  <c r="E29" i="54" l="1"/>
  <c r="E32" i="54" l="1"/>
  <c r="Q9" i="47" l="1"/>
  <c r="R9" i="47"/>
  <c r="T9" i="47"/>
  <c r="L9" i="47"/>
  <c r="N9" i="47"/>
  <c r="Q8" i="47" l="1"/>
  <c r="M8" i="47"/>
  <c r="S8" i="47"/>
  <c r="L8" i="47"/>
  <c r="K8" i="47"/>
  <c r="T8" i="47"/>
  <c r="K9" i="47"/>
  <c r="N8" i="47"/>
  <c r="R8" i="47"/>
  <c r="M9" i="47"/>
  <c r="P8" i="47"/>
  <c r="S9" i="47"/>
  <c r="P9" i="47"/>
  <c r="J8" i="47"/>
  <c r="O8" i="47"/>
  <c r="C50" i="54"/>
  <c r="J9" i="47"/>
  <c r="O9" i="47"/>
  <c r="O34" i="47" l="1"/>
  <c r="O12" i="47"/>
  <c r="L34" i="47"/>
  <c r="L12" i="47"/>
  <c r="N34" i="47"/>
  <c r="N12" i="47"/>
  <c r="T34" i="47"/>
  <c r="T12" i="47"/>
  <c r="S34" i="47"/>
  <c r="S12" i="47"/>
  <c r="P34" i="47"/>
  <c r="P12" i="47"/>
  <c r="M34" i="47"/>
  <c r="M12" i="47"/>
  <c r="J34" i="47"/>
  <c r="J12" i="47"/>
  <c r="K34" i="47"/>
  <c r="K12" i="47"/>
  <c r="R34" i="47"/>
  <c r="R12" i="47"/>
  <c r="Q34" i="47"/>
  <c r="Q12" i="47"/>
  <c r="Q51" i="47"/>
  <c r="Q48" i="47"/>
  <c r="L11" i="47"/>
  <c r="F9" i="33"/>
  <c r="L25" i="47"/>
  <c r="S11" i="47"/>
  <c r="S10" i="47" s="1"/>
  <c r="M9" i="33"/>
  <c r="S25" i="47"/>
  <c r="R11" i="47"/>
  <c r="L9" i="33"/>
  <c r="R25" i="47"/>
  <c r="C55" i="54"/>
  <c r="J9" i="33"/>
  <c r="P25" i="47"/>
  <c r="P11" i="47"/>
  <c r="T11" i="47"/>
  <c r="N9" i="33"/>
  <c r="T25" i="47"/>
  <c r="M25" i="47"/>
  <c r="M11" i="47"/>
  <c r="M10" i="47" s="1"/>
  <c r="G9" i="33"/>
  <c r="O25" i="47"/>
  <c r="O11" i="47"/>
  <c r="I9" i="33"/>
  <c r="N11" i="47"/>
  <c r="H9" i="33"/>
  <c r="N25" i="47"/>
  <c r="J25" i="47"/>
  <c r="D9" i="33"/>
  <c r="J11" i="47"/>
  <c r="K11" i="47"/>
  <c r="E9" i="33"/>
  <c r="K25" i="47"/>
  <c r="K9" i="33"/>
  <c r="Q11" i="47"/>
  <c r="Q25" i="47"/>
  <c r="P51" i="47"/>
  <c r="P48" i="47"/>
  <c r="R51" i="47"/>
  <c r="R48" i="47"/>
  <c r="C60" i="54"/>
  <c r="F50" i="54"/>
  <c r="H50" i="54"/>
  <c r="K51" i="47"/>
  <c r="K48" i="47"/>
  <c r="J51" i="47"/>
  <c r="J48" i="47"/>
  <c r="O51" i="47"/>
  <c r="O48" i="47"/>
  <c r="N48" i="47"/>
  <c r="N51" i="47"/>
  <c r="K21" i="47"/>
  <c r="T51" i="47"/>
  <c r="T48" i="47"/>
  <c r="L48" i="47"/>
  <c r="L51" i="47"/>
  <c r="S48" i="47"/>
  <c r="S51" i="47"/>
  <c r="M51" i="47"/>
  <c r="M48" i="47"/>
  <c r="J10" i="47" l="1"/>
  <c r="N10" i="47"/>
  <c r="H10" i="33" s="1"/>
  <c r="T10" i="47"/>
  <c r="N10" i="33" s="1"/>
  <c r="R10" i="47"/>
  <c r="L10" i="33" s="1"/>
  <c r="K10" i="47"/>
  <c r="E10" i="33" s="1"/>
  <c r="O10" i="47"/>
  <c r="I10" i="33" s="1"/>
  <c r="P10" i="47"/>
  <c r="J10" i="33" s="1"/>
  <c r="Q10" i="47"/>
  <c r="K10" i="33" s="1"/>
  <c r="L10" i="47"/>
  <c r="L13" i="47" s="1"/>
  <c r="S23" i="47"/>
  <c r="S50" i="47"/>
  <c r="P23" i="47"/>
  <c r="P50" i="47"/>
  <c r="O23" i="47"/>
  <c r="O50" i="47"/>
  <c r="Q23" i="47"/>
  <c r="Q50" i="47"/>
  <c r="L23" i="47"/>
  <c r="L50" i="47"/>
  <c r="K23" i="47"/>
  <c r="K50" i="47"/>
  <c r="J23" i="47"/>
  <c r="J50" i="47"/>
  <c r="M23" i="47"/>
  <c r="M50" i="47"/>
  <c r="N23" i="47"/>
  <c r="N50" i="47"/>
  <c r="T23" i="47"/>
  <c r="T50" i="47"/>
  <c r="R23" i="47"/>
  <c r="R50" i="47"/>
  <c r="T13" i="47"/>
  <c r="T14" i="47" s="1"/>
  <c r="D10" i="33"/>
  <c r="J13" i="47"/>
  <c r="M10" i="33"/>
  <c r="M11" i="33" s="1"/>
  <c r="M12" i="33" s="1"/>
  <c r="S13" i="47"/>
  <c r="G10" i="33"/>
  <c r="M13" i="47"/>
  <c r="Q13" i="47"/>
  <c r="Q14" i="47" s="1"/>
  <c r="N13" i="47"/>
  <c r="P13" i="47"/>
  <c r="O13" i="47"/>
  <c r="O14" i="47" s="1"/>
  <c r="K13" i="47"/>
  <c r="U51" i="47"/>
  <c r="K18" i="47"/>
  <c r="K22" i="47" s="1"/>
  <c r="S14" i="47"/>
  <c r="J21" i="47"/>
  <c r="M14" i="47"/>
  <c r="H60" i="54"/>
  <c r="K50" i="54"/>
  <c r="F60" i="54"/>
  <c r="U48" i="47"/>
  <c r="E48" i="47" s="1"/>
  <c r="N14" i="47"/>
  <c r="N16" i="47"/>
  <c r="D11" i="33"/>
  <c r="D12" i="33" s="1"/>
  <c r="E11" i="33" l="1"/>
  <c r="E12" i="33" s="1"/>
  <c r="F10" i="33"/>
  <c r="R13" i="47"/>
  <c r="R14" i="47" s="1"/>
  <c r="K11" i="33"/>
  <c r="K12" i="33" s="1"/>
  <c r="I11" i="33"/>
  <c r="I12" i="33" s="1"/>
  <c r="L11" i="33"/>
  <c r="L12" i="33" s="1"/>
  <c r="N11" i="33"/>
  <c r="N12" i="33" s="1"/>
  <c r="J11" i="33"/>
  <c r="J12" i="33" s="1"/>
  <c r="L16" i="47"/>
  <c r="L17" i="47" s="1"/>
  <c r="L14" i="47"/>
  <c r="H11" i="33"/>
  <c r="H12" i="33" s="1"/>
  <c r="G11" i="33"/>
  <c r="G12" i="33" s="1"/>
  <c r="R16" i="47"/>
  <c r="T16" i="47"/>
  <c r="Q16" i="47"/>
  <c r="Q17" i="47" s="1"/>
  <c r="E51" i="47"/>
  <c r="H51" i="47" s="1"/>
  <c r="J18" i="47"/>
  <c r="J22" i="47" s="1"/>
  <c r="S16" i="47"/>
  <c r="S17" i="47" s="1"/>
  <c r="M16" i="47"/>
  <c r="O16" i="47"/>
  <c r="P14" i="47"/>
  <c r="P16" i="47"/>
  <c r="J14" i="47"/>
  <c r="J16" i="47"/>
  <c r="N17" i="47"/>
  <c r="R17" i="47"/>
  <c r="T17" i="47"/>
  <c r="K60" i="54"/>
  <c r="K14" i="47"/>
  <c r="K16" i="47"/>
  <c r="F11" i="33" l="1"/>
  <c r="F12" i="33" s="1"/>
  <c r="D42" i="62"/>
  <c r="O17" i="47"/>
  <c r="M17" i="47"/>
  <c r="H48" i="47"/>
  <c r="P17" i="47"/>
  <c r="K17" i="47"/>
  <c r="J17" i="47"/>
  <c r="AA21" i="47" l="1"/>
  <c r="AN21" i="47"/>
  <c r="AB21" i="47"/>
  <c r="AO21" i="47"/>
  <c r="W21" i="47"/>
  <c r="AC21" i="47"/>
  <c r="AL21" i="47"/>
  <c r="AK21" i="47"/>
  <c r="AJ21" i="47"/>
  <c r="V21" i="47"/>
  <c r="AD21" i="47"/>
  <c r="AH21" i="47"/>
  <c r="AP21" i="47"/>
  <c r="AI21" i="47"/>
  <c r="Z21" i="47"/>
  <c r="K13" i="49"/>
  <c r="AR21" i="47"/>
  <c r="AQ21" i="47"/>
  <c r="X21" i="47"/>
  <c r="J13" i="49"/>
  <c r="Y21" i="47"/>
  <c r="I13" i="49"/>
  <c r="X18" i="47" l="1"/>
  <c r="AD18" i="47"/>
  <c r="AB18" i="47"/>
  <c r="AK18" i="47"/>
  <c r="AL18" i="47"/>
  <c r="AL22" i="47" s="1"/>
  <c r="AC18" i="47"/>
  <c r="AP18" i="47"/>
  <c r="AO18" i="47"/>
  <c r="AQ18" i="47"/>
  <c r="V18" i="47"/>
  <c r="AN18" i="47"/>
  <c r="Z18" i="47"/>
  <c r="AI18" i="47"/>
  <c r="AI22" i="47" s="1"/>
  <c r="Y18" i="47"/>
  <c r="W18" i="47"/>
  <c r="W22" i="47" s="1"/>
  <c r="AH18" i="47"/>
  <c r="AR18" i="47"/>
  <c r="AJ18" i="47"/>
  <c r="AA18" i="47"/>
  <c r="AF21" i="47"/>
  <c r="AM21" i="47"/>
  <c r="AE21" i="47"/>
  <c r="AE18" i="47" l="1"/>
  <c r="AE22" i="47" s="1"/>
  <c r="AM18" i="47"/>
  <c r="AF18" i="47"/>
  <c r="AF22" i="47" s="1"/>
  <c r="AJ22" i="47"/>
  <c r="AO22" i="47"/>
  <c r="Y22" i="47"/>
  <c r="AR22" i="47"/>
  <c r="AB22" i="47"/>
  <c r="X22" i="47"/>
  <c r="AC22" i="47"/>
  <c r="AK22" i="47"/>
  <c r="AH22" i="47"/>
  <c r="AG21" i="47"/>
  <c r="K42" i="49"/>
  <c r="Z22" i="47"/>
  <c r="AD22" i="47"/>
  <c r="AA22" i="47"/>
  <c r="AN22" i="47"/>
  <c r="AQ22" i="47"/>
  <c r="AP22" i="47"/>
  <c r="F21" i="47" l="1"/>
  <c r="AG18" i="47"/>
  <c r="V22" i="47"/>
  <c r="AM22" i="47"/>
  <c r="F18" i="47" l="1"/>
  <c r="F22" i="47" s="1"/>
  <c r="E14" i="62"/>
  <c r="AG22" i="47"/>
  <c r="E15" i="62" l="1"/>
  <c r="I9" i="47" l="1"/>
  <c r="D9" i="47" s="1"/>
  <c r="L10" i="49"/>
  <c r="L52" i="49" s="1"/>
  <c r="L46" i="49" s="1"/>
  <c r="C49" i="54"/>
  <c r="I20" i="47" l="1"/>
  <c r="D20" i="47" s="1"/>
  <c r="I46" i="49"/>
  <c r="C54" i="54"/>
  <c r="C47" i="54"/>
  <c r="C57" i="54" s="1"/>
  <c r="I15" i="47"/>
  <c r="L40" i="49"/>
  <c r="C59" i="54"/>
  <c r="I8" i="47"/>
  <c r="H49" i="54"/>
  <c r="H47" i="54" l="1"/>
  <c r="H57" i="54" s="1"/>
  <c r="I12" i="47"/>
  <c r="D12" i="47" s="1"/>
  <c r="I25" i="47"/>
  <c r="I50" i="47" s="1"/>
  <c r="D50" i="47" s="1"/>
  <c r="C40" i="62" s="1"/>
  <c r="L42" i="49"/>
  <c r="I21" i="47" s="1"/>
  <c r="I19" i="47"/>
  <c r="I44" i="47"/>
  <c r="I48" i="47"/>
  <c r="I51" i="47"/>
  <c r="I34" i="47"/>
  <c r="D34" i="47" s="1"/>
  <c r="C26" i="62" s="1"/>
  <c r="I11" i="47"/>
  <c r="I10" i="47" s="1"/>
  <c r="D8" i="47"/>
  <c r="C9" i="33"/>
  <c r="D15" i="47"/>
  <c r="H59" i="54"/>
  <c r="D48" i="47"/>
  <c r="C79" i="54" l="1"/>
  <c r="I13" i="47"/>
  <c r="D10" i="47"/>
  <c r="C8" i="62"/>
  <c r="AV50" i="47"/>
  <c r="I43" i="47"/>
  <c r="I26" i="47" s="1"/>
  <c r="C3" i="62"/>
  <c r="D11" i="47"/>
  <c r="C6" i="62" s="1"/>
  <c r="I23" i="47"/>
  <c r="D23" i="47" s="1"/>
  <c r="D25" i="47"/>
  <c r="C10" i="62" s="1"/>
  <c r="AV34" i="47"/>
  <c r="J44" i="47"/>
  <c r="D19" i="47"/>
  <c r="I18" i="47"/>
  <c r="I22" i="47" s="1"/>
  <c r="C12" i="62"/>
  <c r="AM9" i="33"/>
  <c r="AV12" i="47" l="1"/>
  <c r="AV11" i="47"/>
  <c r="C4" i="62"/>
  <c r="C11" i="62"/>
  <c r="C17" i="62"/>
  <c r="C21" i="62"/>
  <c r="C35" i="62"/>
  <c r="C25" i="62"/>
  <c r="C29" i="62"/>
  <c r="C23" i="62"/>
  <c r="C9" i="62"/>
  <c r="C37" i="62"/>
  <c r="C27" i="62"/>
  <c r="C7" i="62"/>
  <c r="C33" i="62"/>
  <c r="C41" i="62"/>
  <c r="AV8" i="47"/>
  <c r="J43" i="47"/>
  <c r="K44" i="47"/>
  <c r="AV25" i="47"/>
  <c r="C10" i="33"/>
  <c r="AV15" i="47"/>
  <c r="C13" i="62"/>
  <c r="G48" i="47"/>
  <c r="C5" i="62" l="1"/>
  <c r="D13" i="47"/>
  <c r="D14" i="47" s="1"/>
  <c r="I16" i="47"/>
  <c r="I52" i="47" s="1"/>
  <c r="I14" i="47"/>
  <c r="AM10" i="33"/>
  <c r="AM11" i="33" s="1"/>
  <c r="AM12" i="33" s="1"/>
  <c r="C11" i="33"/>
  <c r="C12" i="33" s="1"/>
  <c r="K43" i="47"/>
  <c r="L44" i="47"/>
  <c r="J26" i="47"/>
  <c r="J59" i="47"/>
  <c r="L43" i="47" l="1"/>
  <c r="L26" i="47" s="1"/>
  <c r="M44" i="47"/>
  <c r="J54" i="47"/>
  <c r="J55" i="47" s="1"/>
  <c r="J52" i="47"/>
  <c r="K26" i="47"/>
  <c r="K59" i="47"/>
  <c r="D16" i="47"/>
  <c r="I17" i="47"/>
  <c r="D17" i="47" l="1"/>
  <c r="C80" i="54"/>
  <c r="C81" i="54" s="1"/>
  <c r="K54" i="47"/>
  <c r="K55" i="47" s="1"/>
  <c r="K52" i="47"/>
  <c r="J58" i="47"/>
  <c r="D13" i="33"/>
  <c r="J53" i="47"/>
  <c r="M43" i="47"/>
  <c r="M26" i="47" s="1"/>
  <c r="N44" i="47"/>
  <c r="D14" i="33" l="1"/>
  <c r="E13" i="33"/>
  <c r="K53" i="47"/>
  <c r="K58" i="47"/>
  <c r="N43" i="47"/>
  <c r="N26" i="47" s="1"/>
  <c r="O44" i="47"/>
  <c r="O43" i="47" l="1"/>
  <c r="O26" i="47" s="1"/>
  <c r="P44" i="47"/>
  <c r="E14" i="33"/>
  <c r="D15" i="33"/>
  <c r="D16" i="33"/>
  <c r="D17" i="33" s="1"/>
  <c r="D19" i="33" s="1"/>
  <c r="D21" i="33" s="1"/>
  <c r="E16" i="33" l="1"/>
  <c r="E17" i="33" s="1"/>
  <c r="E19" i="33" s="1"/>
  <c r="E21" i="33" s="1"/>
  <c r="E15" i="33"/>
  <c r="P43" i="47"/>
  <c r="P26" i="47" s="1"/>
  <c r="Q44" i="47"/>
  <c r="X10" i="49"/>
  <c r="X52" i="49" s="1"/>
  <c r="X46" i="49" s="1"/>
  <c r="D49" i="54"/>
  <c r="U20" i="47" l="1"/>
  <c r="E20" i="47" s="1"/>
  <c r="J46" i="49"/>
  <c r="Q43" i="47"/>
  <c r="Q26" i="47" s="1"/>
  <c r="R44" i="47"/>
  <c r="D54" i="54"/>
  <c r="U15" i="47"/>
  <c r="X40" i="49"/>
  <c r="X42" i="49" s="1"/>
  <c r="I49" i="54"/>
  <c r="K49" i="54" s="1"/>
  <c r="U9" i="47"/>
  <c r="E9" i="47" s="1"/>
  <c r="J10" i="49"/>
  <c r="D59" i="54"/>
  <c r="D47" i="54"/>
  <c r="F49" i="54"/>
  <c r="U8" i="47"/>
  <c r="U34" i="47" l="1"/>
  <c r="U12" i="47"/>
  <c r="E12" i="47" s="1"/>
  <c r="H20" i="47"/>
  <c r="G20" i="47"/>
  <c r="E8" i="47"/>
  <c r="D79" i="54" s="1"/>
  <c r="U25" i="47"/>
  <c r="U50" i="47" s="1"/>
  <c r="E50" i="47" s="1"/>
  <c r="U11" i="47"/>
  <c r="O9" i="33"/>
  <c r="R43" i="47"/>
  <c r="R26" i="47" s="1"/>
  <c r="S44" i="47"/>
  <c r="E15" i="47"/>
  <c r="D12" i="62" s="1"/>
  <c r="U19" i="47"/>
  <c r="F59" i="54"/>
  <c r="K47" i="54"/>
  <c r="K57" i="54" s="1"/>
  <c r="I59" i="54"/>
  <c r="K59" i="54"/>
  <c r="D57" i="54"/>
  <c r="F47" i="54"/>
  <c r="I47" i="54"/>
  <c r="H9" i="47"/>
  <c r="G9" i="47"/>
  <c r="E11" i="47" l="1"/>
  <c r="D6" i="62" s="1"/>
  <c r="F6" i="62" s="1"/>
  <c r="U10" i="47"/>
  <c r="D8" i="62"/>
  <c r="F8" i="62" s="1"/>
  <c r="H12" i="47"/>
  <c r="G12" i="47"/>
  <c r="G50" i="47"/>
  <c r="D40" i="62"/>
  <c r="H50" i="47"/>
  <c r="E10" i="47"/>
  <c r="S43" i="47"/>
  <c r="S26" i="47" s="1"/>
  <c r="T44" i="47"/>
  <c r="O10" i="33"/>
  <c r="E34" i="47"/>
  <c r="U23" i="47"/>
  <c r="E23" i="47" s="1"/>
  <c r="E25" i="47"/>
  <c r="U13" i="47"/>
  <c r="E13" i="47" s="1"/>
  <c r="E14" i="47" s="1"/>
  <c r="E19" i="47"/>
  <c r="F12" i="62"/>
  <c r="D3" i="62"/>
  <c r="U21" i="47"/>
  <c r="J42" i="49"/>
  <c r="F57" i="54"/>
  <c r="I57" i="54"/>
  <c r="G15" i="47"/>
  <c r="H15" i="47"/>
  <c r="AN9" i="33"/>
  <c r="AP9" i="33" s="1"/>
  <c r="G8" i="47"/>
  <c r="H8" i="47"/>
  <c r="D27" i="54"/>
  <c r="C27" i="54" s="1"/>
  <c r="G11" i="47" l="1"/>
  <c r="H11" i="47"/>
  <c r="F40" i="62"/>
  <c r="U14" i="47"/>
  <c r="G23" i="47"/>
  <c r="H23" i="47"/>
  <c r="G25" i="47"/>
  <c r="D10" i="62"/>
  <c r="H25" i="47"/>
  <c r="G34" i="47"/>
  <c r="D26" i="62"/>
  <c r="H34" i="47"/>
  <c r="T43" i="47"/>
  <c r="T26" i="47" s="1"/>
  <c r="U44" i="47"/>
  <c r="E21" i="47"/>
  <c r="U18" i="47"/>
  <c r="D7" i="62"/>
  <c r="I7" i="62" s="1"/>
  <c r="D9" i="62"/>
  <c r="I9" i="62" s="1"/>
  <c r="D23" i="62"/>
  <c r="I23" i="62" s="1"/>
  <c r="D37" i="62"/>
  <c r="I37" i="62" s="1"/>
  <c r="D25" i="62"/>
  <c r="I25" i="62" s="1"/>
  <c r="D33" i="62"/>
  <c r="I33" i="62" s="1"/>
  <c r="D41" i="62"/>
  <c r="I41" i="62" s="1"/>
  <c r="D29" i="62"/>
  <c r="I29" i="62" s="1"/>
  <c r="D35" i="62"/>
  <c r="I35" i="62" s="1"/>
  <c r="D21" i="62"/>
  <c r="I21" i="62" s="1"/>
  <c r="D17" i="62"/>
  <c r="I17" i="62" s="1"/>
  <c r="D43" i="62"/>
  <c r="I43" i="62" s="1"/>
  <c r="F3" i="62"/>
  <c r="D13" i="62"/>
  <c r="I13" i="62" s="1"/>
  <c r="B9" i="33"/>
  <c r="H13" i="47"/>
  <c r="H19" i="47"/>
  <c r="U16" i="47"/>
  <c r="E16" i="47" s="1"/>
  <c r="AN10" i="33"/>
  <c r="H10" i="47"/>
  <c r="G10" i="47"/>
  <c r="O11" i="33"/>
  <c r="O12" i="33" s="1"/>
  <c r="E17" i="47" l="1"/>
  <c r="D80" i="54"/>
  <c r="D81" i="54" s="1"/>
  <c r="F26" i="62"/>
  <c r="F27" i="62" s="1"/>
  <c r="D27" i="62"/>
  <c r="I27" i="62" s="1"/>
  <c r="F10" i="62"/>
  <c r="F11" i="62" s="1"/>
  <c r="D4" i="62"/>
  <c r="U43" i="47"/>
  <c r="V44" i="47"/>
  <c r="D11" i="62"/>
  <c r="I11" i="62" s="1"/>
  <c r="H21" i="47"/>
  <c r="E18" i="47"/>
  <c r="H18" i="47" s="1"/>
  <c r="F13" i="62"/>
  <c r="F9" i="62"/>
  <c r="F23" i="62"/>
  <c r="F25" i="62"/>
  <c r="F33" i="62"/>
  <c r="F35" i="62"/>
  <c r="F37" i="62"/>
  <c r="F29" i="62"/>
  <c r="F41" i="62"/>
  <c r="F21" i="62"/>
  <c r="F17" i="62"/>
  <c r="F7" i="62"/>
  <c r="U17" i="47"/>
  <c r="AN11" i="33"/>
  <c r="AP10" i="33"/>
  <c r="G14" i="47"/>
  <c r="U22" i="47"/>
  <c r="G13" i="47"/>
  <c r="G16" i="47"/>
  <c r="H16" i="47"/>
  <c r="V43" i="47" l="1"/>
  <c r="W44" i="47"/>
  <c r="U26" i="47"/>
  <c r="U59" i="47"/>
  <c r="D5" i="62"/>
  <c r="I5" i="62" s="1"/>
  <c r="F4" i="62"/>
  <c r="F5" i="62" s="1"/>
  <c r="E22" i="47"/>
  <c r="H22" i="47" s="1"/>
  <c r="D14" i="62"/>
  <c r="AN12" i="33"/>
  <c r="AP11" i="33"/>
  <c r="AP12" i="33" s="1"/>
  <c r="H14" i="47"/>
  <c r="G17" i="47"/>
  <c r="H17" i="47"/>
  <c r="D15" i="62" l="1"/>
  <c r="I15" i="62" s="1"/>
  <c r="U52" i="47"/>
  <c r="U54" i="47"/>
  <c r="U55" i="47" s="1"/>
  <c r="W43" i="47"/>
  <c r="X44" i="47"/>
  <c r="V26" i="47"/>
  <c r="V59" i="47"/>
  <c r="V52" i="47" l="1"/>
  <c r="V54" i="47"/>
  <c r="V55" i="47" s="1"/>
  <c r="X43" i="47"/>
  <c r="Y44" i="47"/>
  <c r="W26" i="47"/>
  <c r="W59" i="47"/>
  <c r="O13" i="33"/>
  <c r="U53" i="47"/>
  <c r="U58" i="47"/>
  <c r="W54" i="47" l="1"/>
  <c r="W55" i="47" s="1"/>
  <c r="W52" i="47"/>
  <c r="Y43" i="47"/>
  <c r="Z44" i="47"/>
  <c r="X26" i="47"/>
  <c r="X59" i="47"/>
  <c r="O14" i="33"/>
  <c r="V58" i="47"/>
  <c r="V53" i="47"/>
  <c r="P13" i="33"/>
  <c r="L21" i="47"/>
  <c r="X54" i="47" l="1"/>
  <c r="X55" i="47" s="1"/>
  <c r="X52" i="47"/>
  <c r="P14" i="33"/>
  <c r="Z43" i="47"/>
  <c r="AA44" i="47"/>
  <c r="Y26" i="47"/>
  <c r="Y59" i="47"/>
  <c r="O16" i="33"/>
  <c r="O17" i="33" s="1"/>
  <c r="O19" i="33" s="1"/>
  <c r="O21" i="33" s="1"/>
  <c r="O15" i="33"/>
  <c r="Q13" i="33"/>
  <c r="W58" i="47"/>
  <c r="W53" i="47"/>
  <c r="L18" i="47"/>
  <c r="L22" i="47" s="1"/>
  <c r="L59" i="47"/>
  <c r="M21" i="47"/>
  <c r="N21" i="47"/>
  <c r="AA43" i="47" l="1"/>
  <c r="AB44" i="47"/>
  <c r="Z26" i="47"/>
  <c r="Z59" i="47"/>
  <c r="Q14" i="33"/>
  <c r="P15" i="33"/>
  <c r="P16" i="33"/>
  <c r="P17" i="33" s="1"/>
  <c r="P19" i="33" s="1"/>
  <c r="P21" i="33" s="1"/>
  <c r="Y52" i="47"/>
  <c r="Y54" i="47"/>
  <c r="Y55" i="47" s="1"/>
  <c r="X58" i="47"/>
  <c r="R13" i="33"/>
  <c r="X53" i="47"/>
  <c r="L52" i="47"/>
  <c r="L54" i="47"/>
  <c r="L55" i="47" s="1"/>
  <c r="M59" i="47"/>
  <c r="M18" i="47"/>
  <c r="N59" i="47"/>
  <c r="N18" i="47"/>
  <c r="Y58" i="47" l="1"/>
  <c r="Y53" i="47"/>
  <c r="S13" i="33"/>
  <c r="R14" i="33"/>
  <c r="AB43" i="47"/>
  <c r="AC44" i="47"/>
  <c r="Z54" i="47"/>
  <c r="Z55" i="47" s="1"/>
  <c r="Z52" i="47"/>
  <c r="Q15" i="33"/>
  <c r="Q16" i="33"/>
  <c r="Q17" i="33" s="1"/>
  <c r="Q19" i="33" s="1"/>
  <c r="Q21" i="33" s="1"/>
  <c r="AA26" i="47"/>
  <c r="AA59" i="47"/>
  <c r="L58" i="47"/>
  <c r="F13" i="33"/>
  <c r="L53" i="47"/>
  <c r="O21" i="47"/>
  <c r="N54" i="47"/>
  <c r="N55" i="47" s="1"/>
  <c r="N52" i="47"/>
  <c r="N22" i="47"/>
  <c r="M22" i="47"/>
  <c r="M54" i="47"/>
  <c r="M55" i="47" s="1"/>
  <c r="M52" i="47"/>
  <c r="M58" i="47" s="1"/>
  <c r="P21" i="47"/>
  <c r="AC43" i="47" l="1"/>
  <c r="AD44" i="47"/>
  <c r="AA54" i="47"/>
  <c r="AA55" i="47" s="1"/>
  <c r="AA52" i="47"/>
  <c r="R15" i="33"/>
  <c r="R16" i="33"/>
  <c r="R17" i="33" s="1"/>
  <c r="R19" i="33" s="1"/>
  <c r="R21" i="33" s="1"/>
  <c r="S14" i="33"/>
  <c r="T13" i="33"/>
  <c r="Z58" i="47"/>
  <c r="Z53" i="47"/>
  <c r="AB26" i="47"/>
  <c r="AB59" i="47"/>
  <c r="F14" i="33"/>
  <c r="F15" i="33" s="1"/>
  <c r="H13" i="33"/>
  <c r="N58" i="47"/>
  <c r="P59" i="47"/>
  <c r="P18" i="47"/>
  <c r="O18" i="47"/>
  <c r="O54" i="47" s="1"/>
  <c r="O55" i="47" s="1"/>
  <c r="O59" i="47"/>
  <c r="G13" i="33"/>
  <c r="M53" i="47"/>
  <c r="N53" i="47"/>
  <c r="F16" i="33" l="1"/>
  <c r="F17" i="33" s="1"/>
  <c r="F19" i="33" s="1"/>
  <c r="F21" i="33" s="1"/>
  <c r="AB52" i="47"/>
  <c r="AB54" i="47"/>
  <c r="AB55" i="47" s="1"/>
  <c r="T14" i="33"/>
  <c r="U13" i="33"/>
  <c r="AA53" i="47"/>
  <c r="AA58" i="47"/>
  <c r="S15" i="33"/>
  <c r="S16" i="33"/>
  <c r="S17" i="33" s="1"/>
  <c r="S19" i="33" s="1"/>
  <c r="S21" i="33" s="1"/>
  <c r="AD43" i="47"/>
  <c r="AE44" i="47"/>
  <c r="AC26" i="47"/>
  <c r="AC59" i="47"/>
  <c r="O22" i="47"/>
  <c r="O52" i="47"/>
  <c r="O53" i="47" s="1"/>
  <c r="P52" i="47"/>
  <c r="P58" i="47" s="1"/>
  <c r="P22" i="47"/>
  <c r="P54" i="47"/>
  <c r="P55" i="47" s="1"/>
  <c r="G14" i="33"/>
  <c r="G15" i="33" s="1"/>
  <c r="H14" i="33"/>
  <c r="H15" i="33" s="1"/>
  <c r="R21" i="47"/>
  <c r="Q21" i="47"/>
  <c r="AE43" i="47" l="1"/>
  <c r="AF44" i="47"/>
  <c r="AD26" i="47"/>
  <c r="AD59" i="47"/>
  <c r="U14" i="33"/>
  <c r="AC52" i="47"/>
  <c r="AC54" i="47"/>
  <c r="AC55" i="47" s="1"/>
  <c r="T15" i="33"/>
  <c r="T16" i="33"/>
  <c r="T17" i="33" s="1"/>
  <c r="T19" i="33" s="1"/>
  <c r="T21" i="33" s="1"/>
  <c r="AB58" i="47"/>
  <c r="AB53" i="47"/>
  <c r="V13" i="33"/>
  <c r="Q59" i="47"/>
  <c r="Q18" i="47"/>
  <c r="Q52" i="47" s="1"/>
  <c r="R18" i="47"/>
  <c r="R59" i="47"/>
  <c r="I13" i="33"/>
  <c r="O58" i="47"/>
  <c r="J13" i="33"/>
  <c r="G16" i="33"/>
  <c r="G17" i="33" s="1"/>
  <c r="G19" i="33" s="1"/>
  <c r="G21" i="33" s="1"/>
  <c r="I10" i="49"/>
  <c r="H16" i="33"/>
  <c r="H17" i="33" s="1"/>
  <c r="H19" i="33" s="1"/>
  <c r="H21" i="33" s="1"/>
  <c r="P53" i="47"/>
  <c r="U15" i="33" l="1"/>
  <c r="U16" i="33"/>
  <c r="U17" i="33" s="1"/>
  <c r="U19" i="33" s="1"/>
  <c r="U21" i="33" s="1"/>
  <c r="AD52" i="47"/>
  <c r="AD54" i="47"/>
  <c r="AD55" i="47" s="1"/>
  <c r="V14" i="33"/>
  <c r="AC53" i="47"/>
  <c r="W13" i="33"/>
  <c r="AC58" i="47"/>
  <c r="AF43" i="47"/>
  <c r="AG44" i="47"/>
  <c r="AE26" i="47"/>
  <c r="AE59" i="47"/>
  <c r="Q22" i="47"/>
  <c r="Q54" i="47"/>
  <c r="Q55" i="47" s="1"/>
  <c r="I14" i="33"/>
  <c r="I15" i="33" s="1"/>
  <c r="K13" i="33"/>
  <c r="Q58" i="47"/>
  <c r="R52" i="47"/>
  <c r="R22" i="47"/>
  <c r="R54" i="47"/>
  <c r="R55" i="47" s="1"/>
  <c r="T21" i="47"/>
  <c r="S21" i="47"/>
  <c r="I42" i="49"/>
  <c r="Q53" i="47"/>
  <c r="J14" i="33"/>
  <c r="J15" i="33" s="1"/>
  <c r="AE52" i="47" l="1"/>
  <c r="AE54" i="47"/>
  <c r="AE55" i="47" s="1"/>
  <c r="AG43" i="47"/>
  <c r="AH44" i="47"/>
  <c r="AF26" i="47"/>
  <c r="AF59" i="47"/>
  <c r="AD53" i="47"/>
  <c r="AD58" i="47"/>
  <c r="X13" i="33"/>
  <c r="W14" i="33"/>
  <c r="V15" i="33"/>
  <c r="V16" i="33"/>
  <c r="V17" i="33" s="1"/>
  <c r="V19" i="33" s="1"/>
  <c r="V21" i="33" s="1"/>
  <c r="I16" i="33"/>
  <c r="I17" i="33" s="1"/>
  <c r="I19" i="33" s="1"/>
  <c r="I21" i="33" s="1"/>
  <c r="S18" i="47"/>
  <c r="S54" i="47" s="1"/>
  <c r="S55" i="47" s="1"/>
  <c r="S59" i="47"/>
  <c r="T18" i="47"/>
  <c r="D18" i="47" s="1"/>
  <c r="T59" i="47"/>
  <c r="D21" i="47"/>
  <c r="L13" i="33"/>
  <c r="R58" i="47"/>
  <c r="R53" i="47"/>
  <c r="K14" i="33"/>
  <c r="K15" i="33" s="1"/>
  <c r="J16" i="33"/>
  <c r="J17" i="33" s="1"/>
  <c r="J19" i="33" s="1"/>
  <c r="J21" i="33" s="1"/>
  <c r="AF52" i="47" l="1"/>
  <c r="AF54" i="47"/>
  <c r="AF55" i="47" s="1"/>
  <c r="W15" i="33"/>
  <c r="W16" i="33"/>
  <c r="W17" i="33" s="1"/>
  <c r="W19" i="33" s="1"/>
  <c r="W21" i="33" s="1"/>
  <c r="AG26" i="47"/>
  <c r="AG59" i="47"/>
  <c r="X14" i="33"/>
  <c r="AH43" i="47"/>
  <c r="AI44" i="47"/>
  <c r="S52" i="47"/>
  <c r="M13" i="33" s="1"/>
  <c r="S22" i="47"/>
  <c r="AE58" i="47"/>
  <c r="AE53" i="47"/>
  <c r="Y13" i="33"/>
  <c r="C14" i="62"/>
  <c r="G21" i="47"/>
  <c r="L14" i="33"/>
  <c r="L15" i="33" s="1"/>
  <c r="G19" i="47"/>
  <c r="K16" i="33"/>
  <c r="K17" i="33" s="1"/>
  <c r="K19" i="33" s="1"/>
  <c r="K21" i="33" s="1"/>
  <c r="T54" i="47"/>
  <c r="T55" i="47" s="1"/>
  <c r="T52" i="47"/>
  <c r="T58" i="47" s="1"/>
  <c r="T22" i="47"/>
  <c r="AV18" i="47" l="1"/>
  <c r="S53" i="47"/>
  <c r="S58" i="47"/>
  <c r="AG54" i="47"/>
  <c r="AG55" i="47" s="1"/>
  <c r="AG52" i="47"/>
  <c r="Y14" i="33"/>
  <c r="AI43" i="47"/>
  <c r="AJ44" i="47"/>
  <c r="AH26" i="47"/>
  <c r="AH59" i="47"/>
  <c r="X15" i="33"/>
  <c r="X16" i="33"/>
  <c r="X17" i="33" s="1"/>
  <c r="X19" i="33" s="1"/>
  <c r="X21" i="33" s="1"/>
  <c r="AF58" i="47"/>
  <c r="AF53" i="47"/>
  <c r="Z13" i="33"/>
  <c r="N13" i="33"/>
  <c r="D22" i="47"/>
  <c r="G22" i="47" s="1"/>
  <c r="G18" i="47"/>
  <c r="M14" i="33"/>
  <c r="M15" i="33" s="1"/>
  <c r="T53" i="47"/>
  <c r="L16" i="33"/>
  <c r="L17" i="33" s="1"/>
  <c r="L19" i="33" s="1"/>
  <c r="L21" i="33" s="1"/>
  <c r="Y15" i="33" l="1"/>
  <c r="Y16" i="33"/>
  <c r="Y17" i="33" s="1"/>
  <c r="Y19" i="33" s="1"/>
  <c r="Y21" i="33" s="1"/>
  <c r="AH54" i="47"/>
  <c r="AH55" i="47" s="1"/>
  <c r="AH52" i="47"/>
  <c r="Z14" i="33"/>
  <c r="AJ43" i="47"/>
  <c r="AK44" i="47"/>
  <c r="AA13" i="33"/>
  <c r="AG53" i="47"/>
  <c r="AG58" i="47"/>
  <c r="AI26" i="47"/>
  <c r="AI59" i="47"/>
  <c r="F14" i="62"/>
  <c r="C15" i="62"/>
  <c r="N14" i="33"/>
  <c r="N15" i="33" s="1"/>
  <c r="M16" i="33"/>
  <c r="M17" i="33" s="1"/>
  <c r="M19" i="33" s="1"/>
  <c r="M21" i="33" s="1"/>
  <c r="AI54" i="47" l="1"/>
  <c r="AI55" i="47" s="1"/>
  <c r="AI52" i="47"/>
  <c r="Z15" i="33"/>
  <c r="Z16" i="33"/>
  <c r="Z17" i="33" s="1"/>
  <c r="Z19" i="33" s="1"/>
  <c r="Z21" i="33" s="1"/>
  <c r="AB13" i="33"/>
  <c r="AH53" i="47"/>
  <c r="AH58" i="47"/>
  <c r="AA14" i="33"/>
  <c r="AK43" i="47"/>
  <c r="AL44" i="47"/>
  <c r="AJ26" i="47"/>
  <c r="AJ59" i="47"/>
  <c r="F15" i="62"/>
  <c r="N16" i="33"/>
  <c r="N17" i="33" s="1"/>
  <c r="N19" i="33" s="1"/>
  <c r="N21" i="33" s="1"/>
  <c r="AB14" i="33" l="1"/>
  <c r="AA15" i="33"/>
  <c r="AA16" i="33"/>
  <c r="AA17" i="33" s="1"/>
  <c r="AA19" i="33" s="1"/>
  <c r="AA21" i="33" s="1"/>
  <c r="AI58" i="47"/>
  <c r="AI53" i="47"/>
  <c r="AC13" i="33"/>
  <c r="AJ54" i="47"/>
  <c r="AJ55" i="47" s="1"/>
  <c r="AJ52" i="47"/>
  <c r="AK26" i="47"/>
  <c r="AK59" i="47"/>
  <c r="AL43" i="47"/>
  <c r="AM44" i="47"/>
  <c r="AK52" i="47" l="1"/>
  <c r="AK54" i="47"/>
  <c r="AK55" i="47" s="1"/>
  <c r="AD13" i="33"/>
  <c r="AJ58" i="47"/>
  <c r="AJ53" i="47"/>
  <c r="AM43" i="47"/>
  <c r="AN44" i="47"/>
  <c r="AC14" i="33"/>
  <c r="AB15" i="33"/>
  <c r="AB16" i="33"/>
  <c r="AB17" i="33" s="1"/>
  <c r="AB19" i="33" s="1"/>
  <c r="AB21" i="33" s="1"/>
  <c r="AL26" i="47"/>
  <c r="AL59" i="47"/>
  <c r="AD14" i="33" l="1"/>
  <c r="AC15" i="33"/>
  <c r="AC16" i="33"/>
  <c r="AC17" i="33" s="1"/>
  <c r="AC19" i="33" s="1"/>
  <c r="AC21" i="33" s="1"/>
  <c r="AN43" i="47"/>
  <c r="AO44" i="47"/>
  <c r="AL52" i="47"/>
  <c r="AL54" i="47"/>
  <c r="AL55" i="47" s="1"/>
  <c r="AM26" i="47"/>
  <c r="AM59" i="47"/>
  <c r="AK53" i="47"/>
  <c r="AE13" i="33"/>
  <c r="AK58" i="47"/>
  <c r="AD15" i="33" l="1"/>
  <c r="AD16" i="33"/>
  <c r="AD17" i="33" s="1"/>
  <c r="AD19" i="33" s="1"/>
  <c r="AD21" i="33" s="1"/>
  <c r="AM52" i="47"/>
  <c r="AM54" i="47"/>
  <c r="AM55" i="47" s="1"/>
  <c r="AL53" i="47"/>
  <c r="AL58" i="47"/>
  <c r="AF13" i="33"/>
  <c r="AE14" i="33"/>
  <c r="AN26" i="47"/>
  <c r="AN59" i="47"/>
  <c r="AO43" i="47"/>
  <c r="AP44" i="47"/>
  <c r="AO26" i="47" l="1"/>
  <c r="AO59" i="47"/>
  <c r="AF14" i="33"/>
  <c r="AP43" i="47"/>
  <c r="AQ44" i="47"/>
  <c r="AG13" i="33"/>
  <c r="AM53" i="47"/>
  <c r="AM58" i="47"/>
  <c r="AN52" i="47"/>
  <c r="AN54" i="47"/>
  <c r="AN55" i="47" s="1"/>
  <c r="AE15" i="33"/>
  <c r="AE16" i="33"/>
  <c r="AE17" i="33" s="1"/>
  <c r="AE19" i="33" s="1"/>
  <c r="AE21" i="33" s="1"/>
  <c r="AN53" i="47" l="1"/>
  <c r="AH13" i="33"/>
  <c r="AN58" i="47"/>
  <c r="AF15" i="33"/>
  <c r="AF16" i="33"/>
  <c r="AF17" i="33" s="1"/>
  <c r="AF19" i="33" s="1"/>
  <c r="AF21" i="33" s="1"/>
  <c r="AG14" i="33"/>
  <c r="AO54" i="47"/>
  <c r="AO55" i="47" s="1"/>
  <c r="AO52" i="47"/>
  <c r="AQ43" i="47"/>
  <c r="AR44" i="47"/>
  <c r="AP26" i="47"/>
  <c r="AP59" i="47"/>
  <c r="AI13" i="33" l="1"/>
  <c r="AO58" i="47"/>
  <c r="AO53" i="47"/>
  <c r="AQ26" i="47"/>
  <c r="AQ59" i="47"/>
  <c r="AH14" i="33"/>
  <c r="AP52" i="47"/>
  <c r="AP54" i="47"/>
  <c r="AP55" i="47" s="1"/>
  <c r="AG15" i="33"/>
  <c r="AG16" i="33"/>
  <c r="AG17" i="33" s="1"/>
  <c r="AG19" i="33" s="1"/>
  <c r="AG21" i="33" s="1"/>
  <c r="AR43" i="47"/>
  <c r="D44" i="47"/>
  <c r="E44" i="47"/>
  <c r="F44" i="47"/>
  <c r="H44" i="47" l="1"/>
  <c r="AH15" i="33"/>
  <c r="AH16" i="33"/>
  <c r="AH17" i="33" s="1"/>
  <c r="AH19" i="33" s="1"/>
  <c r="AH21" i="33" s="1"/>
  <c r="AQ54" i="47"/>
  <c r="AQ55" i="47" s="1"/>
  <c r="AQ52" i="47"/>
  <c r="G44" i="47"/>
  <c r="AP53" i="47"/>
  <c r="AP58" i="47"/>
  <c r="AJ13" i="33"/>
  <c r="AR26" i="47"/>
  <c r="AR59" i="47"/>
  <c r="D43" i="47"/>
  <c r="E43" i="47"/>
  <c r="F43" i="47"/>
  <c r="AI14" i="33"/>
  <c r="E38" i="62" l="1"/>
  <c r="H43" i="47"/>
  <c r="F59" i="47"/>
  <c r="AQ58" i="47"/>
  <c r="AK13" i="33"/>
  <c r="AQ53" i="47"/>
  <c r="C38" i="62"/>
  <c r="AI15" i="33"/>
  <c r="AI16" i="33"/>
  <c r="AI17" i="33" s="1"/>
  <c r="AI19" i="33" s="1"/>
  <c r="AI21" i="33" s="1"/>
  <c r="D38" i="62"/>
  <c r="G43" i="47"/>
  <c r="E59" i="47"/>
  <c r="F26" i="47"/>
  <c r="E82" i="54" s="1"/>
  <c r="E83" i="54" s="1"/>
  <c r="E84" i="54" s="1"/>
  <c r="AR52" i="47"/>
  <c r="D52" i="47" s="1"/>
  <c r="AR54" i="47"/>
  <c r="AR55" i="47" s="1"/>
  <c r="E26" i="47"/>
  <c r="D82" i="54" s="1"/>
  <c r="D83" i="54" s="1"/>
  <c r="D84" i="54" s="1"/>
  <c r="AJ14" i="33"/>
  <c r="AL13" i="33" l="1"/>
  <c r="AR58" i="47"/>
  <c r="AR53" i="47"/>
  <c r="E52" i="47"/>
  <c r="F52" i="47"/>
  <c r="H26" i="47"/>
  <c r="F54" i="47"/>
  <c r="F55" i="47" s="1"/>
  <c r="C39" i="62"/>
  <c r="F38" i="62"/>
  <c r="AV43" i="47"/>
  <c r="D39" i="62"/>
  <c r="I39" i="62" s="1"/>
  <c r="AK14" i="33"/>
  <c r="AJ15" i="33"/>
  <c r="AJ16" i="33"/>
  <c r="AJ17" i="33" s="1"/>
  <c r="AJ19" i="33" s="1"/>
  <c r="AJ21" i="33" s="1"/>
  <c r="E54" i="47"/>
  <c r="E55" i="47" s="1"/>
  <c r="E39" i="62"/>
  <c r="E44" i="62" l="1"/>
  <c r="F58" i="47"/>
  <c r="F53" i="47"/>
  <c r="H52" i="47"/>
  <c r="E58" i="47"/>
  <c r="E53" i="47"/>
  <c r="D44" i="62"/>
  <c r="AK15" i="33"/>
  <c r="AK16" i="33"/>
  <c r="AK17" i="33" s="1"/>
  <c r="AK19" i="33" s="1"/>
  <c r="AK21" i="33" s="1"/>
  <c r="F39" i="62"/>
  <c r="AL14" i="33"/>
  <c r="AN13" i="33"/>
  <c r="AO13" i="33"/>
  <c r="AO14" i="33" s="1"/>
  <c r="AN14" i="33" l="1"/>
  <c r="AO15" i="33"/>
  <c r="AO16" i="33"/>
  <c r="AO17" i="33" s="1"/>
  <c r="AO19" i="33" s="1"/>
  <c r="AO21" i="33" s="1"/>
  <c r="AL15" i="33"/>
  <c r="AL16" i="33"/>
  <c r="AL17" i="33" s="1"/>
  <c r="AL19" i="33" s="1"/>
  <c r="AL21" i="33" s="1"/>
  <c r="E45" i="62"/>
  <c r="E47" i="62"/>
  <c r="D45" i="62"/>
  <c r="I45" i="62" s="1"/>
  <c r="D47" i="62"/>
  <c r="H53" i="47"/>
  <c r="AN16" i="33" l="1"/>
  <c r="AN15" i="33"/>
  <c r="AN17" i="33" l="1"/>
  <c r="AN19" i="33" l="1"/>
  <c r="AN21" i="33" l="1"/>
  <c r="D26" i="47" l="1"/>
  <c r="C82" i="54" s="1"/>
  <c r="C83" i="54" s="1"/>
  <c r="C84" i="54" s="1"/>
  <c r="I59" i="47"/>
  <c r="D51" i="47"/>
  <c r="D59" i="47" s="1"/>
  <c r="G26" i="47" l="1"/>
  <c r="D54" i="47"/>
  <c r="D55" i="47" s="1"/>
  <c r="C42" i="62"/>
  <c r="F42" i="62" s="1"/>
  <c r="F43" i="62" s="1"/>
  <c r="G51" i="47"/>
  <c r="I54" i="47"/>
  <c r="I55" i="47" s="1"/>
  <c r="AV51" i="47" l="1"/>
  <c r="C43" i="62"/>
  <c r="I53" i="47"/>
  <c r="C13" i="33"/>
  <c r="I58" i="47"/>
  <c r="D58" i="47" l="1"/>
  <c r="C44" i="62"/>
  <c r="D53" i="47"/>
  <c r="G53" i="47" s="1"/>
  <c r="D28" i="54"/>
  <c r="C28" i="54" s="1"/>
  <c r="G52" i="47"/>
  <c r="C14" i="33"/>
  <c r="AM13" i="33"/>
  <c r="C47" i="62" l="1"/>
  <c r="C15" i="33"/>
  <c r="C16" i="33"/>
  <c r="C17" i="33" s="1"/>
  <c r="C19" i="33" s="1"/>
  <c r="C21" i="33" s="1"/>
  <c r="D29" i="54"/>
  <c r="C29" i="54" s="1"/>
  <c r="AV52" i="47"/>
  <c r="C45" i="62"/>
  <c r="F44" i="62"/>
  <c r="AM14" i="33"/>
  <c r="AP13" i="33"/>
  <c r="F45" i="62" l="1"/>
  <c r="F47" i="62"/>
  <c r="AM15" i="33"/>
  <c r="AM16" i="33"/>
  <c r="AP16" i="33" s="1"/>
  <c r="AP14" i="33"/>
  <c r="C22" i="33"/>
  <c r="D22" i="33" s="1"/>
  <c r="E22" i="33" s="1"/>
  <c r="F22" i="33" s="1"/>
  <c r="G22" i="33" s="1"/>
  <c r="H22" i="33" s="1"/>
  <c r="I22" i="33" s="1"/>
  <c r="J22" i="33" s="1"/>
  <c r="K22" i="33" s="1"/>
  <c r="L22" i="33" s="1"/>
  <c r="M22" i="33" s="1"/>
  <c r="N22" i="33" s="1"/>
  <c r="C26" i="33"/>
  <c r="D26" i="33"/>
  <c r="E26" i="33"/>
  <c r="F26" i="33"/>
  <c r="H26" i="33"/>
  <c r="G26" i="33"/>
  <c r="I26" i="33"/>
  <c r="J26" i="33"/>
  <c r="K26" i="33"/>
  <c r="L26" i="33"/>
  <c r="M26" i="33"/>
  <c r="R26" i="33"/>
  <c r="N26" i="33"/>
  <c r="T26" i="33"/>
  <c r="X26" i="33"/>
  <c r="S26" i="33"/>
  <c r="V26" i="33"/>
  <c r="Z26" i="33"/>
  <c r="Y26" i="33"/>
  <c r="Q26" i="33"/>
  <c r="W26" i="33"/>
  <c r="O26" i="33"/>
  <c r="P26" i="33"/>
  <c r="U26" i="33"/>
  <c r="AA26" i="33"/>
  <c r="AB26" i="33"/>
  <c r="AC26" i="33"/>
  <c r="AD26" i="33"/>
  <c r="AE26" i="33"/>
  <c r="AF26" i="33"/>
  <c r="AG26" i="33"/>
  <c r="AH26" i="33"/>
  <c r="AI26" i="33"/>
  <c r="AJ26" i="33"/>
  <c r="AK26" i="33"/>
  <c r="AL26" i="33"/>
  <c r="AM17" i="33" l="1"/>
  <c r="AM19" i="33" s="1"/>
  <c r="O22" i="33"/>
  <c r="P22" i="33" s="1"/>
  <c r="Q22" i="33" s="1"/>
  <c r="R22" i="33" s="1"/>
  <c r="S22" i="33" s="1"/>
  <c r="T22" i="33" s="1"/>
  <c r="U22" i="33" s="1"/>
  <c r="V22" i="33" s="1"/>
  <c r="W22" i="33" s="1"/>
  <c r="X22" i="33" s="1"/>
  <c r="Y22" i="33" s="1"/>
  <c r="Z22" i="33" s="1"/>
  <c r="AM22" i="33"/>
  <c r="AP15" i="33"/>
  <c r="B15" i="33" s="1"/>
  <c r="B14" i="33"/>
  <c r="AP17" i="33" l="1"/>
  <c r="AN22" i="33"/>
  <c r="AA22" i="33"/>
  <c r="AB22" i="33" s="1"/>
  <c r="AC22" i="33" s="1"/>
  <c r="AD22" i="33" s="1"/>
  <c r="AE22" i="33" s="1"/>
  <c r="AF22" i="33" s="1"/>
  <c r="AG22" i="33" s="1"/>
  <c r="AH22" i="33" s="1"/>
  <c r="AI22" i="33" s="1"/>
  <c r="AJ22" i="33" s="1"/>
  <c r="AK22" i="33" s="1"/>
  <c r="AL22" i="33" s="1"/>
  <c r="B26" i="33" s="1"/>
  <c r="AM21" i="33"/>
  <c r="AP19" i="33"/>
  <c r="B28" i="33" l="1"/>
  <c r="AO22" i="33"/>
  <c r="AP22" i="33" s="1"/>
  <c r="B22" i="33" s="1"/>
  <c r="B24" i="33"/>
  <c r="B25" i="33"/>
  <c r="D35" i="54" l="1"/>
  <c r="D34" i="54"/>
  <c r="C34" i="54" s="1"/>
  <c r="D33" i="54"/>
  <c r="D31" i="54"/>
  <c r="B27" i="33"/>
  <c r="D32" i="54" s="1"/>
  <c r="D68" i="54" l="1"/>
  <c r="C32" i="54"/>
  <c r="D67" i="54"/>
  <c r="C31" i="54"/>
  <c r="C33" i="54"/>
  <c r="D69" i="54"/>
  <c r="D70" i="54"/>
  <c r="C35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tc={C62FDFD1-ED27-4B57-85AD-EDDEA94C6936}</author>
  </authors>
  <commentList>
    <comment ref="H24" authorId="0" shapeId="0" xr:uid="{C62FDFD1-ED27-4B57-85AD-EDDEA94C6936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искл 21М на голову для корр-ого сравнения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tc={5AE3A802-75CE-4EAB-8848-25D6D62D9B0A}</author>
    <author>tc={6A808520-0966-44BD-899A-BF1E372CBDFC}</author>
    <author>Ахметова Лилия Евгеньева</author>
    <author>tc={14293580-CDB8-4322-8D24-D2EFB64C3EB5}</author>
    <author>tc={B53DFCF8-4C58-466F-890B-6E1A33C062C0}</author>
    <author>tc={6EF223C4-7DBD-4762-8E5E-F970166C6E01}</author>
  </authors>
  <commentList>
    <comment ref="B25" authorId="0" shapeId="0" xr:uid="{5AE3A802-75CE-4EAB-8848-25D6D62D9B0A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доля канала в 21 году</t>
      </text>
    </comment>
    <comment ref="C25" authorId="1" shapeId="0" xr:uid="{6A808520-0966-44BD-899A-BF1E372CBDFC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% вознаграждения от выручки 21 год</t>
      </text>
    </comment>
    <comment ref="B30" authorId="2" shapeId="0" xr:uid="{55E4C84A-AED0-45A0-8AB4-37AC7B37B764}">
      <text>
        <r>
          <rPr>
            <b/>
            <sz val="9"/>
            <color indexed="81"/>
            <rFont val="Tahoma"/>
            <family val="2"/>
            <charset val="204"/>
          </rPr>
          <t>Ахметова Лилия Евгеньева:</t>
        </r>
        <r>
          <rPr>
            <sz val="9"/>
            <color indexed="81"/>
            <rFont val="Tahoma"/>
            <family val="2"/>
            <charset val="204"/>
          </rPr>
          <t xml:space="preserve">
клининг, коммуналка, текущие ремонт и затраты на соодержание помещений ТБО</t>
        </r>
      </text>
    </comment>
    <comment ref="C36" authorId="3" shapeId="0" xr:uid="{14293580-CDB8-4322-8D24-D2EFB64C3EB5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Годовое обслуживание эксимерного лазера WaveLight® ЕХ500    260 000руб. плюс 400 000 газовая смесь (стоимость может измениться)
Годовое обслуживание VisuMax минимально 290 000 руб. (судя по тому что Цейз так и не заключают договор на ТО цена может существенно измениться)</t>
      </text>
    </comment>
    <comment ref="B40" authorId="4" shapeId="0" xr:uid="{B53DFCF8-4C58-466F-890B-6E1A33C062C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расход на 1 сотрудника в месяц</t>
      </text>
    </comment>
    <comment ref="B64" authorId="5" shapeId="0" xr:uid="{6EF223C4-7DBD-4762-8E5E-F970166C6E01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резерв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Арсен Магомед-Камильевич Магомедов</author>
    <author>Ирина Павлова</author>
  </authors>
  <commentList>
    <comment ref="B50" authorId="0" shapeId="0" xr:uid="{5E46EABB-AE20-4322-A084-777A099DDB80}">
      <text>
        <r>
          <rPr>
            <b/>
            <sz val="9"/>
            <color indexed="81"/>
            <rFont val="Tahoma"/>
            <family val="2"/>
          </rPr>
          <t>Арсен Магомед-Камильевич Магомедов:</t>
        </r>
        <r>
          <rPr>
            <sz val="9"/>
            <color indexed="81"/>
            <rFont val="Tahoma"/>
            <family val="2"/>
          </rPr>
          <t xml:space="preserve">
это конверсия на консультацию к хирургу</t>
        </r>
      </text>
    </comment>
    <comment ref="J50" authorId="0" shapeId="0" xr:uid="{0637F1D3-CC5A-4DD6-8F6C-C41A7E3B7706}">
      <text>
        <r>
          <rPr>
            <b/>
            <sz val="9"/>
            <color indexed="81"/>
            <rFont val="Tahoma"/>
            <family val="2"/>
          </rPr>
          <t>Арсен Магомед-Камильевич Магомедов:</t>
        </r>
        <r>
          <rPr>
            <sz val="9"/>
            <color indexed="81"/>
            <rFont val="Tahoma"/>
            <family val="2"/>
          </rPr>
          <t xml:space="preserve">
Конверсия от консультаций хирурга в операции 18% 
</t>
        </r>
      </text>
    </comment>
    <comment ref="B83" authorId="1" shapeId="0" xr:uid="{97E6E6F3-F8F2-4620-B9C9-B78EC81D4807}">
      <text>
        <r>
          <rPr>
            <b/>
            <sz val="9"/>
            <color indexed="81"/>
            <rFont val="Tahoma"/>
            <family val="2"/>
          </rPr>
          <t>Ирина Павлова:</t>
        </r>
        <r>
          <rPr>
            <sz val="9"/>
            <color indexed="81"/>
            <rFont val="Tahoma"/>
            <family val="2"/>
          </rPr>
          <t xml:space="preserve">
ортолинзы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Роман Бобза</author>
  </authors>
  <commentList>
    <comment ref="D48" authorId="0" shapeId="0" xr:uid="{5E5B98A4-662D-4231-AAAC-1E9AA24E935A}">
      <text>
        <r>
          <rPr>
            <b/>
            <sz val="9"/>
            <color indexed="81"/>
            <rFont val="Tahoma"/>
            <family val="2"/>
            <charset val="204"/>
          </rPr>
          <t>Роман Бобза:</t>
        </r>
        <r>
          <rPr>
            <sz val="9"/>
            <color indexed="81"/>
            <rFont val="Tahoma"/>
            <family val="2"/>
            <charset val="204"/>
          </rPr>
          <t xml:space="preserve">
по трем продуктам:
- катаракта
- эксипер
- пресбиопия</t>
        </r>
      </text>
    </comment>
    <comment ref="D80" authorId="0" shapeId="0" xr:uid="{277E0742-EE09-46A3-B280-FC72F958F5A4}">
      <text>
        <r>
          <rPr>
            <b/>
            <sz val="9"/>
            <color indexed="81"/>
            <rFont val="Tahoma"/>
            <family val="2"/>
            <charset val="204"/>
          </rPr>
          <t>Роман Бобза:</t>
        </r>
        <r>
          <rPr>
            <sz val="9"/>
            <color indexed="81"/>
            <rFont val="Tahoma"/>
            <family val="2"/>
            <charset val="204"/>
          </rPr>
          <t xml:space="preserve">
до 55% при выполнении пл выручки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Залина Барчо</author>
  </authors>
  <commentList>
    <comment ref="G19" authorId="0" shapeId="0" xr:uid="{20E66F5F-605F-486A-9F0B-00BA1B68BEEA}">
      <text>
        <r>
          <rPr>
            <b/>
            <sz val="9"/>
            <color indexed="81"/>
            <rFont val="Tahoma"/>
            <family val="2"/>
            <charset val="204"/>
          </rPr>
          <t>Залина Барчо:</t>
        </r>
        <r>
          <rPr>
            <sz val="9"/>
            <color indexed="81"/>
            <rFont val="Tahoma"/>
            <family val="2"/>
            <charset val="204"/>
          </rPr>
          <t xml:space="preserve">
ОЧКОВЫЕ ЛИНЗЫ</t>
        </r>
      </text>
    </comment>
  </commentList>
</comments>
</file>

<file path=xl/sharedStrings.xml><?xml version="1.0" encoding="utf-8"?>
<sst xmlns="http://schemas.openxmlformats.org/spreadsheetml/2006/main" count="1256" uniqueCount="453">
  <si>
    <t>Итого</t>
  </si>
  <si>
    <t>Начисления на зп</t>
  </si>
  <si>
    <t>Переменные материальные затраты</t>
  </si>
  <si>
    <t>Аренда помещений</t>
  </si>
  <si>
    <t>Расходы на содержание помещений</t>
  </si>
  <si>
    <t>Расходы на охрану</t>
  </si>
  <si>
    <t>Расходы на связь</t>
  </si>
  <si>
    <t>Расходы на транспорт и доставку</t>
  </si>
  <si>
    <t>Ремонт и ТО прочего оборудования</t>
  </si>
  <si>
    <t>Командировочные и представительские</t>
  </si>
  <si>
    <t>Прочие Материалы</t>
  </si>
  <si>
    <t>Прочие расходы мед.учреждений</t>
  </si>
  <si>
    <t>Прочие расходы на персонал</t>
  </si>
  <si>
    <t>Прочие админ.расходы</t>
  </si>
  <si>
    <t>1 год</t>
  </si>
  <si>
    <t>2 год</t>
  </si>
  <si>
    <t>3 год</t>
  </si>
  <si>
    <t>Revenue</t>
  </si>
  <si>
    <t>Growth, %</t>
  </si>
  <si>
    <t>Диагностика</t>
  </si>
  <si>
    <t>Кол-во врачей ежедневно</t>
  </si>
  <si>
    <t>Ср. время на 1 прием, мин</t>
  </si>
  <si>
    <t>Кол-во приемов в день, шт.</t>
  </si>
  <si>
    <t>Кол-во приемов в месяц, шт.</t>
  </si>
  <si>
    <t>Ср. чек на 1 прием, руб.</t>
  </si>
  <si>
    <t>1год</t>
  </si>
  <si>
    <t>% скидки</t>
  </si>
  <si>
    <t>Кол-во раб. мест</t>
  </si>
  <si>
    <t>Кол-во раб. дней в месяце</t>
  </si>
  <si>
    <t>% загрузки</t>
  </si>
  <si>
    <t>2 год vs 1 год</t>
  </si>
  <si>
    <t>3 год vs 2 год</t>
  </si>
  <si>
    <t>Поля, необходимые к заполнению</t>
  </si>
  <si>
    <t>Ср. доходы в день, руб.</t>
  </si>
  <si>
    <t>Услуги ЧОП</t>
  </si>
  <si>
    <t>Пожарно-охранная сигнализация</t>
  </si>
  <si>
    <t>Площадь, м2</t>
  </si>
  <si>
    <t>Стоимость, руб.</t>
  </si>
  <si>
    <t>хоз. материалы</t>
  </si>
  <si>
    <t>бланки, канц товары</t>
  </si>
  <si>
    <t>прочие МПЗ</t>
  </si>
  <si>
    <t>Точка безубыточности (BEP)</t>
  </si>
  <si>
    <t>Точка безубыточности (BEP), кол-во</t>
  </si>
  <si>
    <t>мед. техника</t>
  </si>
  <si>
    <t>спецодежда</t>
  </si>
  <si>
    <t xml:space="preserve">Доходы </t>
  </si>
  <si>
    <t>Рентабельность</t>
  </si>
  <si>
    <t>Срок окупаемости по проекту, мес.</t>
  </si>
  <si>
    <t>PBP, mnth</t>
  </si>
  <si>
    <t>Срок окупаемости по проекту, лет</t>
  </si>
  <si>
    <t>PBP, years</t>
  </si>
  <si>
    <t>NPV</t>
  </si>
  <si>
    <t>IRR</t>
  </si>
  <si>
    <t xml:space="preserve"> '000 rur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</si>
  <si>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</si>
  <si>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</si>
  <si>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</si>
  <si>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</si>
  <si>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</si>
  <si>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</si>
  <si>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</si>
  <si>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</si>
  <si>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</si>
  <si>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</si>
  <si>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</si>
  <si>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</si>
  <si>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</si>
  <si>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</si>
  <si>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</si>
  <si>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</si>
  <si>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</si>
  <si>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</si>
  <si>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</si>
  <si>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</si>
  <si>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</si>
  <si>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</si>
  <si>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</si>
  <si>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</si>
  <si>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25 месяц</t>
  </si>
  <si>
    <t>26 месяц</t>
  </si>
  <si>
    <t>27 месяц</t>
  </si>
  <si>
    <t>28 месяц</t>
  </si>
  <si>
    <t>29 месяц</t>
  </si>
  <si>
    <t>30 месяц</t>
  </si>
  <si>
    <t>31 месяц</t>
  </si>
  <si>
    <t>32 месяц</t>
  </si>
  <si>
    <t>33 месяц</t>
  </si>
  <si>
    <t>34 месяц</t>
  </si>
  <si>
    <t>35 месяц</t>
  </si>
  <si>
    <t>36 месяц</t>
  </si>
  <si>
    <t>YTD</t>
  </si>
  <si>
    <t>Discount rate</t>
  </si>
  <si>
    <t>Period</t>
  </si>
  <si>
    <t>Discount Factor</t>
  </si>
  <si>
    <t>Direct Cost</t>
  </si>
  <si>
    <t>Gross Margin</t>
  </si>
  <si>
    <t>Gross Margin,%</t>
  </si>
  <si>
    <t>Fixed costs</t>
  </si>
  <si>
    <t>EBITDA</t>
  </si>
  <si>
    <t>EBITDA,%</t>
  </si>
  <si>
    <t>Income Tax</t>
  </si>
  <si>
    <t>Net Income</t>
  </si>
  <si>
    <t>Cash Flow from Operating Activities</t>
  </si>
  <si>
    <t>Cash Flow from Investing Activities</t>
  </si>
  <si>
    <t xml:space="preserve">Free Cash Flow </t>
  </si>
  <si>
    <t>Cumulative FCF</t>
  </si>
  <si>
    <t>Комментарии:</t>
  </si>
  <si>
    <t>Пермь</t>
  </si>
  <si>
    <t>Доля</t>
  </si>
  <si>
    <t>Химки</t>
  </si>
  <si>
    <t>Катаракта Химки</t>
  </si>
  <si>
    <t>Эксимер Химки</t>
  </si>
  <si>
    <t>Диагностика Химки</t>
  </si>
  <si>
    <t>Прочие Дох Химки</t>
  </si>
  <si>
    <t>Итого Химки</t>
  </si>
  <si>
    <t>Рост Химки</t>
  </si>
  <si>
    <t>Total за 3 лет</t>
  </si>
  <si>
    <t>Должность</t>
  </si>
  <si>
    <t>Доходы в мес. Диагностика</t>
  </si>
  <si>
    <t>ЗП</t>
  </si>
  <si>
    <t>Начисления с ФОТ</t>
  </si>
  <si>
    <t>% индексации</t>
  </si>
  <si>
    <t>Инструкция по работе с шаблоном по расчету окупаемоемости инвестиций в ДЦ</t>
  </si>
  <si>
    <t>Цель:</t>
  </si>
  <si>
    <t>Заполнение исходных данных и условий:</t>
  </si>
  <si>
    <t>NPV можно интерпретировать как стоимость, добавляемую проектом, т.е. ее можно обозначить как общую прибыль инвестора.</t>
  </si>
  <si>
    <t>лист "Total", "Summary"</t>
  </si>
  <si>
    <t>Итоговые данные проекта, с расчетом срока окупаемости, NPV, IRR</t>
  </si>
  <si>
    <t>Total 3 years</t>
  </si>
  <si>
    <t>Детская диагностика</t>
  </si>
  <si>
    <t>Кабинет аппаратного лечения</t>
  </si>
  <si>
    <t xml:space="preserve">Прибыль </t>
  </si>
  <si>
    <t>Чистая приведенная стоимость проекта за 3 года</t>
  </si>
  <si>
    <t>Внутренняя норма доходности за 3 года</t>
  </si>
  <si>
    <t>Доходы</t>
  </si>
  <si>
    <t>Маржинальная прибыль</t>
  </si>
  <si>
    <t>Маржинальная прибыль, %</t>
  </si>
  <si>
    <t>Total за 3лет</t>
  </si>
  <si>
    <t>Операционная прибыль</t>
  </si>
  <si>
    <t>ЗП оптика</t>
  </si>
  <si>
    <t>ЗП отдела продаж</t>
  </si>
  <si>
    <t>Продавец - консультант</t>
  </si>
  <si>
    <t>ROI проекта</t>
  </si>
  <si>
    <t>Техник-оптик</t>
  </si>
  <si>
    <t>Администратор</t>
  </si>
  <si>
    <t xml:space="preserve">Итого </t>
  </si>
  <si>
    <t>% загрузки (сезонность)</t>
  </si>
  <si>
    <t>Кол-во ШЕ</t>
  </si>
  <si>
    <t>При планировании доходной части кейса необходимо вкратце описать на чем основываются предположения о доходах (потенциал территории, конкуренты, с каким действующим ДЦ можно сравнить)</t>
  </si>
  <si>
    <t>Справочно (для расчета)</t>
  </si>
  <si>
    <t>офт</t>
  </si>
  <si>
    <t>розница</t>
  </si>
  <si>
    <t>Основные параметры эффективного проекта:</t>
  </si>
  <si>
    <t>срок окумпаемости (PBP) ≤ 2 года</t>
  </si>
  <si>
    <t>рентабельность инвестиций (ROI проекта) ≥ 210%</t>
  </si>
  <si>
    <t>На данных листах изменения не вносятся, они являются сводными всех расчетных листов</t>
  </si>
  <si>
    <r>
      <t xml:space="preserve">Данные о планируемых инвестициях согласно действующего стандарта открытия.
</t>
    </r>
    <r>
      <rPr>
        <sz val="11"/>
        <color rgb="FFFF0000"/>
        <rFont val="Calibri Light"/>
        <family val="2"/>
        <charset val="204"/>
        <scheme val="major"/>
      </rPr>
      <t xml:space="preserve">ВАЖНО! </t>
    </r>
    <r>
      <rPr>
        <sz val="11"/>
        <rFont val="Calibri Light"/>
        <family val="2"/>
        <charset val="204"/>
        <scheme val="major"/>
      </rPr>
      <t>К уточнению всегда сумма ремонтных работ помещения и дорогостоящего оборудования.</t>
    </r>
  </si>
  <si>
    <t>Доходы итого</t>
  </si>
  <si>
    <t>Кол-во рабочего времени  в день, час</t>
  </si>
  <si>
    <t>Кол-во рабочего времени в день, мин</t>
  </si>
  <si>
    <t>Кол-во рабочего времени с учетом перерывов (10%)</t>
  </si>
  <si>
    <t>диагностика &lt; 45 л.</t>
  </si>
  <si>
    <t>диагностика старше 45 л.</t>
  </si>
  <si>
    <t>диагностика 40-60 л.</t>
  </si>
  <si>
    <t>Катаракта</t>
  </si>
  <si>
    <t>Конверсия по Катаракте от диагностики 45+, %</t>
  </si>
  <si>
    <t>Ср.чек на операцию Катаракта</t>
  </si>
  <si>
    <t>Кол-во операций Катаракта</t>
  </si>
  <si>
    <t>Доходы в мес. Катаракта</t>
  </si>
  <si>
    <t>Эксимер</t>
  </si>
  <si>
    <t>Конверсия по Эксимер от диагностики &lt; 45, %</t>
  </si>
  <si>
    <t>Ср.чек на операцию Эксимер</t>
  </si>
  <si>
    <t>Кол-во операций Эксимер</t>
  </si>
  <si>
    <t>Доходы в мес. Эксимер</t>
  </si>
  <si>
    <t>Витрео</t>
  </si>
  <si>
    <t>Конверсия по Витрео от диагностики 45+, %</t>
  </si>
  <si>
    <t>Ср.чек на операцию Витрео</t>
  </si>
  <si>
    <t>Кол-во операций Витрео</t>
  </si>
  <si>
    <t>Доходы в мес. Витрео</t>
  </si>
  <si>
    <t>Пресбиопия</t>
  </si>
  <si>
    <t>Конверсия по Пресбиопия от диагностики 40-60, %</t>
  </si>
  <si>
    <t>Ср.чек на операцию Пресбиопия</t>
  </si>
  <si>
    <t>Кол-во операций Пресбиопия</t>
  </si>
  <si>
    <t>Доходы в мес. Пресбиопия</t>
  </si>
  <si>
    <t>Лазерное отделение</t>
  </si>
  <si>
    <t>Лазерная диагностика</t>
  </si>
  <si>
    <t>Кол-во пациентов Лазерная диагностика</t>
  </si>
  <si>
    <t>Ср.чек на ЛД</t>
  </si>
  <si>
    <t>доля ЛД в общей, %</t>
  </si>
  <si>
    <t>Лазерная микрохирургия</t>
  </si>
  <si>
    <t>Кол-во операций Лазерная Хирургия</t>
  </si>
  <si>
    <t>Ср.чек на операцию Лазерная Хирургия</t>
  </si>
  <si>
    <t>Конверсия по ЛО, %</t>
  </si>
  <si>
    <t>Интравитреальное введение препарата</t>
  </si>
  <si>
    <t>Кол-во пациентов ИВП</t>
  </si>
  <si>
    <t>Ср.чек ИВП</t>
  </si>
  <si>
    <t>Конверсия по ИВП, %</t>
  </si>
  <si>
    <t>Доходы Лазерное отделение</t>
  </si>
  <si>
    <t>Детское отделение</t>
  </si>
  <si>
    <t>Кол-во пациентов ДетД</t>
  </si>
  <si>
    <t>Ср.чек на ДО</t>
  </si>
  <si>
    <t xml:space="preserve">Кол-во услуг </t>
  </si>
  <si>
    <t>Ср.чек на услугу</t>
  </si>
  <si>
    <t>Конверсия от Детской диагностики, %</t>
  </si>
  <si>
    <t>Детская микрохирургия</t>
  </si>
  <si>
    <t>Кол-во операций Детская Хирургия</t>
  </si>
  <si>
    <t>Ср.чек на операцию Детская Хирургия</t>
  </si>
  <si>
    <t>Конверсия по Деская Хирургия, %</t>
  </si>
  <si>
    <t>Доходы Детское отделение</t>
  </si>
  <si>
    <t>Статья затрат</t>
  </si>
  <si>
    <t>Операция</t>
  </si>
  <si>
    <t>Усл-переменные расходы</t>
  </si>
  <si>
    <t>% от выручки</t>
  </si>
  <si>
    <t>Валовая прибыль</t>
  </si>
  <si>
    <t>ЗП врачей переменная (клиника)</t>
  </si>
  <si>
    <t>ФОТ с начислениями</t>
  </si>
  <si>
    <t>Затраты на оплату труда прочие</t>
  </si>
  <si>
    <t>Премии</t>
  </si>
  <si>
    <t>Расходы на маркетинг</t>
  </si>
  <si>
    <t>Расходы на рекламу</t>
  </si>
  <si>
    <t>Программы лояльности для клиентов</t>
  </si>
  <si>
    <t>Прочие усл-постоянные расходы</t>
  </si>
  <si>
    <t>Расходы на ПО</t>
  </si>
  <si>
    <t>Ремонт и ТО мед. оборудования</t>
  </si>
  <si>
    <t>Аренда оборудования</t>
  </si>
  <si>
    <t>Расходы на доставку и хранение</t>
  </si>
  <si>
    <t>Налоги</t>
  </si>
  <si>
    <t>Рентабельность ДЦ, %</t>
  </si>
  <si>
    <t>…</t>
  </si>
  <si>
    <t>МКЛ</t>
  </si>
  <si>
    <t>база</t>
  </si>
  <si>
    <t>% премии</t>
  </si>
  <si>
    <t>в т.ч. Операции</t>
  </si>
  <si>
    <t>в т.ч. Диагностики и прочее</t>
  </si>
  <si>
    <t>Распределение площади м/у направлениями (офт/розница)</t>
  </si>
  <si>
    <t>Доход</t>
  </si>
  <si>
    <t>3z lenz</t>
  </si>
  <si>
    <t>товары</t>
  </si>
  <si>
    <t>услуги</t>
  </si>
  <si>
    <t>Количество операции</t>
  </si>
  <si>
    <t>Ср. чек операции</t>
  </si>
  <si>
    <t>3-й год</t>
  </si>
  <si>
    <t>Оклад без ндфл</t>
  </si>
  <si>
    <t xml:space="preserve">Инвестиции </t>
  </si>
  <si>
    <t>Темпы роста затрат:</t>
  </si>
  <si>
    <t>2-й год</t>
  </si>
  <si>
    <t>Budget
Opex</t>
  </si>
  <si>
    <t xml:space="preserve">Statistics
Opex </t>
  </si>
  <si>
    <t>Кол-во 
ШЕ</t>
  </si>
  <si>
    <t>% 
индексации</t>
  </si>
  <si>
    <t>Премии Врач диагност</t>
  </si>
  <si>
    <t>OFT</t>
  </si>
  <si>
    <t>Optic</t>
  </si>
  <si>
    <t>Summary</t>
  </si>
  <si>
    <t>лист "Revenue OFT_2", "Revenue_Optic_2"</t>
  </si>
  <si>
    <t>лист "Payroll_OFT_2","Payroll_Optic_2"</t>
  </si>
  <si>
    <t>лист "PL OFT_2", "PL Optic_2"</t>
  </si>
  <si>
    <r>
      <t xml:space="preserve">Штатное расписание нового ДЦ
</t>
    </r>
    <r>
      <rPr>
        <sz val="11"/>
        <color rgb="FFFF0000"/>
        <rFont val="Calibri Light"/>
        <family val="2"/>
        <charset val="204"/>
      </rPr>
      <t>ВАЖНО!</t>
    </r>
    <r>
      <rPr>
        <sz val="11"/>
        <color indexed="8"/>
        <rFont val="Calibri Light"/>
        <family val="2"/>
        <charset val="204"/>
        <scheme val="major"/>
      </rPr>
      <t xml:space="preserve"> К уточнению всегда мотивация персонала 
Структура файла построена таким образом, что для заполнения существуют отдельные ячейки, которые окрашены цветом. При изменении в них данных рассчитывается ФОТ нового диагностического центра</t>
    </r>
  </si>
  <si>
    <r>
      <t xml:space="preserve">Производиться расчет РАСХОДНОЙ части.
</t>
    </r>
    <r>
      <rPr>
        <b/>
        <sz val="11"/>
        <color indexed="8"/>
        <rFont val="Calibri Light"/>
        <family val="2"/>
        <charset val="204"/>
        <scheme val="major"/>
      </rPr>
      <t>Данные заполняются ТОЛЬКО в столбце "C" - "План расходов в месяц на ДЦ" и в полях выделенных отдельным цветом.</t>
    </r>
    <r>
      <rPr>
        <sz val="11"/>
        <color indexed="8"/>
        <rFont val="Calibri Light"/>
        <family val="2"/>
        <charset val="204"/>
        <scheme val="major"/>
      </rPr>
      <t xml:space="preserve"> Справочно приведены расходы, согласно стат. данным, которые потребляет 1 ДЦ в месяц. 
Автоматически от указанных данных происходит расчет расходов на 3 года с учетом темпа роста затрат.
</t>
    </r>
    <r>
      <rPr>
        <sz val="11"/>
        <color rgb="FFFF0000"/>
        <rFont val="Calibri Light"/>
        <family val="2"/>
        <charset val="204"/>
        <scheme val="major"/>
      </rPr>
      <t>ВАЖНО!</t>
    </r>
    <r>
      <rPr>
        <sz val="11"/>
        <color indexed="8"/>
        <rFont val="Calibri Light"/>
        <family val="2"/>
        <charset val="204"/>
        <scheme val="major"/>
      </rPr>
      <t xml:space="preserve"> Приведенные стат. данные  не являются окончательными и при планировании необходимо всегда тщательно подходить к той или иной статье расхода, исходя из существующей ситуации в том регионе, где планируется к открытию ДЦ. </t>
    </r>
  </si>
  <si>
    <t xml:space="preserve">Данный документ  является шаблоном для расчета эффективности инвестиций на открытие нового или переезд ДЦ. 
Основная цель - понять стоит ли вкладывать средства в инвестиционный проект.
</t>
  </si>
  <si>
    <r>
      <t xml:space="preserve">В случае расчета </t>
    </r>
    <r>
      <rPr>
        <b/>
        <sz val="11"/>
        <color indexed="8"/>
        <rFont val="Calibri Light"/>
        <family val="2"/>
        <charset val="204"/>
      </rPr>
      <t>переезда</t>
    </r>
    <r>
      <rPr>
        <sz val="11"/>
        <color indexed="8"/>
        <rFont val="Calibri Light"/>
        <family val="2"/>
        <charset val="204"/>
        <scheme val="major"/>
      </rPr>
      <t xml:space="preserve"> ДЦ заполняются аналогичные листы фактическими данными.</t>
    </r>
  </si>
  <si>
    <r>
      <t xml:space="preserve">В случае расчета </t>
    </r>
    <r>
      <rPr>
        <b/>
        <sz val="11"/>
        <color indexed="8"/>
        <rFont val="Calibri Light"/>
        <family val="2"/>
        <charset val="204"/>
      </rPr>
      <t>открытия</t>
    </r>
    <r>
      <rPr>
        <sz val="11"/>
        <color indexed="8"/>
        <rFont val="Calibri Light"/>
        <family val="2"/>
        <charset val="204"/>
        <scheme val="major"/>
      </rPr>
      <t xml:space="preserve"> нового ДЦ необходимо очистить данные со следующих листов: 
лист "Revenue OFT_2", "Revenue_Optic_2"
лист "Payroll_OFT_2","Payroll_Optic_2"
лист "PL OFT_2", "PL Optic_2"
</t>
    </r>
  </si>
  <si>
    <r>
      <rPr>
        <sz val="11"/>
        <color rgb="FFFF0000"/>
        <rFont val="Calibri Light"/>
        <family val="2"/>
        <charset val="204"/>
      </rPr>
      <t xml:space="preserve">ВАЖНО! </t>
    </r>
    <r>
      <rPr>
        <sz val="11"/>
        <color indexed="8"/>
        <rFont val="Calibri Light"/>
        <family val="2"/>
        <charset val="204"/>
        <scheme val="major"/>
      </rPr>
      <t xml:space="preserve">Отдельно просчитывается CAPEX в файле "Инвестиции под форматы дистрибуции". Для внесения данных в шаблон необходимо обратиться в финансовый отдел. </t>
    </r>
  </si>
  <si>
    <t>для расчета "Capex" необходимо использовать файл Инвестиции под форматы дистрибуции</t>
  </si>
  <si>
    <r>
      <t xml:space="preserve">На указанном листе отв. сотрудник планирует возможные доходы нового ДЦ исходя из:
- количества работающих врачей
- количества рабочих дней/ часов в месяце
- % загрузки
- уровня среднего чека
- % конверсии
</t>
    </r>
    <r>
      <rPr>
        <sz val="11"/>
        <color rgb="FFFF0000"/>
        <rFont val="Calibri Light"/>
        <family val="2"/>
        <charset val="204"/>
        <scheme val="major"/>
      </rPr>
      <t>ВАЖНО!</t>
    </r>
    <r>
      <rPr>
        <sz val="11"/>
        <color indexed="8"/>
        <rFont val="Calibri Light"/>
        <family val="2"/>
        <charset val="204"/>
        <scheme val="major"/>
      </rPr>
      <t xml:space="preserve"> Структура файла построена таким образом, что для заполнения существуют отдельные ячейки, которые окрашены цветом. При изменении в них данных рассчитываются возможные доходы нового диагностического центра</t>
    </r>
  </si>
  <si>
    <t>пн-вс</t>
  </si>
  <si>
    <t>Прочие товары</t>
  </si>
  <si>
    <t>Оптометрист</t>
  </si>
  <si>
    <t>Услуги техника-оптика</t>
  </si>
  <si>
    <t>Кол-во услуг на чел.</t>
  </si>
  <si>
    <t>Indicator</t>
  </si>
  <si>
    <t>Budget for 3 years</t>
  </si>
  <si>
    <t>Revenue KPI</t>
  </si>
  <si>
    <t>Операционная активность</t>
  </si>
  <si>
    <t>Годовые показатели</t>
  </si>
  <si>
    <t>Среднемесяные показатели</t>
  </si>
  <si>
    <t>Итого первичная диагностика</t>
  </si>
  <si>
    <t>диагностика 18-45 л.</t>
  </si>
  <si>
    <t>диагностика 40-60 лет</t>
  </si>
  <si>
    <t>Итого операции 4 продукта</t>
  </si>
  <si>
    <t>Операции Эксимер</t>
  </si>
  <si>
    <t>Операции Катаракта</t>
  </si>
  <si>
    <t>Операции Пресбиопия</t>
  </si>
  <si>
    <t>Операции Витрео</t>
  </si>
  <si>
    <t>Итого Конверсия 4 продукта</t>
  </si>
  <si>
    <t>Конверсия Эксимер, %</t>
  </si>
  <si>
    <t>Конверсия Катаракта,%</t>
  </si>
  <si>
    <t>Конверсия Пресбиопия, %</t>
  </si>
  <si>
    <t>Конверсия Витрео, %</t>
  </si>
  <si>
    <t>Budget</t>
  </si>
  <si>
    <t>Product</t>
  </si>
  <si>
    <t>1y</t>
  </si>
  <si>
    <t>2y</t>
  </si>
  <si>
    <t>3y</t>
  </si>
  <si>
    <t>Total</t>
  </si>
  <si>
    <t>Budget for 3 years, mln</t>
  </si>
  <si>
    <t>График работы операционной:</t>
  </si>
  <si>
    <r>
      <rPr>
        <b/>
        <sz val="11"/>
        <color indexed="8"/>
        <rFont val="Century Gothic"/>
        <family val="2"/>
        <charset val="204"/>
      </rPr>
      <t>Мед.оборудование:</t>
    </r>
    <r>
      <rPr>
        <sz val="11"/>
        <color indexed="8"/>
        <rFont val="Century Gothic"/>
        <family val="2"/>
        <charset val="204"/>
      </rPr>
      <t xml:space="preserve"> </t>
    </r>
  </si>
  <si>
    <t>Техник оптик</t>
  </si>
  <si>
    <t>Продавец консультант</t>
  </si>
  <si>
    <t>в т.ч. Операции в миниклинике</t>
  </si>
  <si>
    <t>в т.ч. Операции направленные</t>
  </si>
  <si>
    <t>Очковые линзы/оправы</t>
  </si>
  <si>
    <t xml:space="preserve">Главный врач, врач-офтальмолог </t>
  </si>
  <si>
    <t xml:space="preserve">Врач-лаборант </t>
  </si>
  <si>
    <t>Фельдшер-лаборант</t>
  </si>
  <si>
    <t>Стоматолог</t>
  </si>
  <si>
    <t>ЛОР</t>
  </si>
  <si>
    <t>Маркетолог</t>
  </si>
  <si>
    <t>Кладовщик/Провизор</t>
  </si>
  <si>
    <t>Рентабельность , %</t>
  </si>
  <si>
    <t>АУП</t>
  </si>
  <si>
    <t>ЦСО</t>
  </si>
  <si>
    <t>Лаборатория</t>
  </si>
  <si>
    <t>ОЛК</t>
  </si>
  <si>
    <r>
      <rPr>
        <b/>
        <sz val="11"/>
        <color indexed="8"/>
        <rFont val="Century Gothic"/>
        <family val="2"/>
        <charset val="204"/>
      </rPr>
      <t>Формат :</t>
    </r>
    <r>
      <rPr>
        <sz val="11"/>
        <color indexed="8"/>
        <rFont val="Century Gothic"/>
        <family val="2"/>
        <charset val="204"/>
      </rPr>
      <t xml:space="preserve"> Полноценная клиника</t>
    </r>
  </si>
  <si>
    <r>
      <rPr>
        <b/>
        <sz val="11"/>
        <color indexed="8"/>
        <rFont val="Century Gothic"/>
        <family val="2"/>
        <charset val="204"/>
      </rPr>
      <t>Штат :</t>
    </r>
    <r>
      <rPr>
        <sz val="11"/>
        <color indexed="8"/>
        <rFont val="Century Gothic"/>
        <family val="2"/>
        <charset val="204"/>
      </rPr>
      <t xml:space="preserve"> смотри страничку штат сотрудников</t>
    </r>
  </si>
  <si>
    <t>НДС</t>
  </si>
  <si>
    <t>Клининговые услуги</t>
  </si>
  <si>
    <t>Коммунальные расходы</t>
  </si>
  <si>
    <t>Материальные затраты на оборудование помещения</t>
  </si>
  <si>
    <t>Ремонт и обслуживание помещений</t>
  </si>
  <si>
    <t>Техническое обслуживание и ремонт хоз. оборудования</t>
  </si>
  <si>
    <t>Бланки</t>
  </si>
  <si>
    <t>Прочие материальные затраты</t>
  </si>
  <si>
    <t>Агентское вознаграждение</t>
  </si>
  <si>
    <t>Затраты на оплату труда переменные производственные</t>
  </si>
  <si>
    <t>Канцелярские товары</t>
  </si>
  <si>
    <t>Материальные затраты - бытовые</t>
  </si>
  <si>
    <t>Материальные затраты - сервис</t>
  </si>
  <si>
    <t>Мягкий инвентарь</t>
  </si>
  <si>
    <t>Орг.техника и комплектующие</t>
  </si>
  <si>
    <t>Спецодежда</t>
  </si>
  <si>
    <t>Сувенирная продукция</t>
  </si>
  <si>
    <t>прочие МПЗ, орг техника</t>
  </si>
  <si>
    <t>бланки, канц товары,сувенирка,мебель</t>
  </si>
  <si>
    <t>Вознаграждение в\а и расходы с ними связанные</t>
  </si>
  <si>
    <t>ОФТ</t>
  </si>
  <si>
    <t>нет</t>
  </si>
  <si>
    <t>Расчет окупаемости</t>
  </si>
  <si>
    <t>Медицинский представитель</t>
  </si>
  <si>
    <t>Ср чек Эксимер</t>
  </si>
  <si>
    <t>Ср чек Катаракта</t>
  </si>
  <si>
    <t>Ср чек Пресбиопия</t>
  </si>
  <si>
    <t>Ср чек Витрео</t>
  </si>
  <si>
    <t>Москва</t>
  </si>
  <si>
    <t>Д.0001</t>
  </si>
  <si>
    <t>Р.00021</t>
  </si>
  <si>
    <t>Р.00022</t>
  </si>
  <si>
    <t>Р.00023</t>
  </si>
  <si>
    <t>Р.00024</t>
  </si>
  <si>
    <t>Р.0001</t>
  </si>
  <si>
    <t>Расходы на персонал условно-постоянные</t>
  </si>
  <si>
    <t>Р.0003</t>
  </si>
  <si>
    <t>Р.0004</t>
  </si>
  <si>
    <t>Р.0005</t>
  </si>
  <si>
    <t>Р.0006</t>
  </si>
  <si>
    <t>Р.0007</t>
  </si>
  <si>
    <t>рентабельность</t>
  </si>
  <si>
    <t>Итого 3 года</t>
  </si>
  <si>
    <t>Р.0008</t>
  </si>
  <si>
    <t>Р.0009</t>
  </si>
  <si>
    <t>Р.0010</t>
  </si>
  <si>
    <t>П.0002</t>
  </si>
  <si>
    <t>Р.0011</t>
  </si>
  <si>
    <t>Р.0012</t>
  </si>
  <si>
    <t>Р.0013</t>
  </si>
  <si>
    <t>Р.0014</t>
  </si>
  <si>
    <t>Налоги (имущество,транспорт, 6%)</t>
  </si>
  <si>
    <t>chekk</t>
  </si>
  <si>
    <t>Основные показатели</t>
  </si>
  <si>
    <t>Штатное расписание</t>
  </si>
  <si>
    <t>Врач-офтальмолог</t>
  </si>
  <si>
    <t>Врач анестезиолог</t>
  </si>
  <si>
    <t>Главная м/с</t>
  </si>
  <si>
    <t>Медицинская м/с</t>
  </si>
  <si>
    <t>Выписка</t>
  </si>
  <si>
    <t>Лазерный отдел</t>
  </si>
  <si>
    <t>Взрослое отделение</t>
  </si>
  <si>
    <t>Эксимер операционная</t>
  </si>
  <si>
    <t>Катарактальная операционная</t>
  </si>
  <si>
    <t>Эксимерная диагностика</t>
  </si>
  <si>
    <t>Врач-офтальмолог хирург</t>
  </si>
  <si>
    <t>Витрео операционная</t>
  </si>
  <si>
    <t>Анестезиология</t>
  </si>
  <si>
    <t>Процедурный кабинет</t>
  </si>
  <si>
    <t>Аппаратное лечение</t>
  </si>
  <si>
    <t>Санитарка</t>
  </si>
  <si>
    <t>Стоматология</t>
  </si>
  <si>
    <t>Лор</t>
  </si>
  <si>
    <t>Клиентский сервис</t>
  </si>
  <si>
    <t>Специалист</t>
  </si>
  <si>
    <t>Хостес</t>
  </si>
  <si>
    <t>Охрана</t>
  </si>
  <si>
    <t>Системный администратор</t>
  </si>
  <si>
    <t>Мед.инженер</t>
  </si>
  <si>
    <t>Сотрудник АХО</t>
  </si>
  <si>
    <t>показатели 21 года</t>
  </si>
  <si>
    <t>Площадь</t>
  </si>
  <si>
    <t>Расход на 1 м2</t>
  </si>
  <si>
    <t>Кол-во сотрудников</t>
  </si>
  <si>
    <t>Расход на сотрудника</t>
  </si>
  <si>
    <t>Переменные затраты</t>
  </si>
  <si>
    <t>Аутсорсинг анализов</t>
  </si>
  <si>
    <t>Расходы на аренду и содержание помещений</t>
  </si>
  <si>
    <t>Расходы на привлечение</t>
  </si>
  <si>
    <t>Расходы на продажи</t>
  </si>
  <si>
    <t>Технические и ИТ затраты</t>
  </si>
  <si>
    <t>Клиника Москва</t>
  </si>
  <si>
    <r>
      <rPr>
        <b/>
        <sz val="11"/>
        <color indexed="8"/>
        <rFont val="Century Gothic"/>
        <family val="2"/>
        <charset val="204"/>
      </rPr>
      <t>График работы:</t>
    </r>
    <r>
      <rPr>
        <sz val="11"/>
        <color indexed="8"/>
        <rFont val="Century Gothic"/>
        <family val="2"/>
        <charset val="204"/>
      </rPr>
      <t xml:space="preserve"> с пнд по вс с 9:00 до 19:00</t>
    </r>
  </si>
  <si>
    <r>
      <rPr>
        <b/>
        <sz val="11"/>
        <color indexed="8"/>
        <rFont val="Century Gothic"/>
        <family val="2"/>
        <charset val="204"/>
      </rPr>
      <t>График работы оптики:</t>
    </r>
    <r>
      <rPr>
        <sz val="11"/>
        <color indexed="8"/>
        <rFont val="Century Gothic"/>
        <family val="2"/>
        <charset val="204"/>
      </rPr>
      <t xml:space="preserve">  с пнд по сб с 9:00 до 19:00</t>
    </r>
  </si>
  <si>
    <t>расход меньше,т.к. буджет текущей клиники будет использован на обе. Тут расходы на конкретно район клиники</t>
  </si>
  <si>
    <t>закладываем выше текущего, за счет меньшего кол-во операций в день.</t>
  </si>
  <si>
    <t>Мебель</t>
  </si>
  <si>
    <t>Мед. инвентарь</t>
  </si>
  <si>
    <t>Прочие МПЗ</t>
  </si>
  <si>
    <t>без Витрео хирурга</t>
  </si>
  <si>
    <t>Система премии годовая/полугодовая</t>
  </si>
  <si>
    <t>годовая</t>
  </si>
  <si>
    <t>ежемес</t>
  </si>
  <si>
    <t>200 руб за операцию</t>
  </si>
  <si>
    <t>квартальная</t>
  </si>
  <si>
    <t>полугод</t>
  </si>
  <si>
    <t>стоимость 1м2, в клинике МСК цена составляет 2 363 руб. за 1 метр2, Дорогой район</t>
  </si>
  <si>
    <t>доля Лаборатории в выручке от операций в общей, %</t>
  </si>
  <si>
    <t>Capex</t>
  </si>
  <si>
    <t>Инвестиции на открытие</t>
  </si>
  <si>
    <t>Вид инвестиций</t>
  </si>
  <si>
    <t>Сумма, млн</t>
  </si>
  <si>
    <t>Мед. оборудование</t>
  </si>
  <si>
    <t>Ремонт помещения</t>
  </si>
  <si>
    <t>Анонсирование открытия (Маркетинг и Пиар)</t>
  </si>
  <si>
    <t>Оформление (внутреннее, внешнее)</t>
  </si>
  <si>
    <t>Инвентарь и прочие МПЗ</t>
  </si>
  <si>
    <t>Оргтехника</t>
  </si>
  <si>
    <t>Автомобиль</t>
  </si>
  <si>
    <t>Прочие инвестиции ( командировки, стажировки, ЗП до открытия)</t>
  </si>
  <si>
    <t>Аренда площади до запуска проекта</t>
  </si>
  <si>
    <t>Резерв (2% от суммы инвестиций)</t>
  </si>
  <si>
    <t>Из них Оптика</t>
  </si>
  <si>
    <t xml:space="preserve">             Три-З</t>
  </si>
  <si>
    <t>ROI проекта (5 лет)</t>
  </si>
  <si>
    <t>Окупаемость</t>
  </si>
  <si>
    <t>Среднемесячные показатели</t>
  </si>
  <si>
    <t>PL</t>
  </si>
  <si>
    <t>Маржинальная прибыль (Доходы - переменные материальные)</t>
  </si>
  <si>
    <t>Условно-постоянные расходы</t>
  </si>
  <si>
    <t>Выручка, т.руб</t>
  </si>
  <si>
    <t>Лазерное</t>
  </si>
  <si>
    <t>ROI проекта за 5 лет</t>
  </si>
  <si>
    <t>Детство</t>
  </si>
  <si>
    <t>Прочее</t>
  </si>
  <si>
    <t>Клиника 3Z_Город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</si>
</sst>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3" formatCode="_-* #,##0.00_-;\-* #,##0.00_-;_-* &quot;-&quot;??_-;_-@_-"/>
    <numFmt numFmtId="164" formatCode="_-* #,##0.00\ _₽_-;\-* #,##0.00\ _₽_-;_-* &quot;-&quot;??\ _₽_-;_-@_-"/>
    <numFmt numFmtId="165" formatCode="_-* #,##0_р_._-;\-* #,##0_р_._-;_-* &quot;-&quot;_р_._-;_-@_-"/>
    <numFmt numFmtId="166" formatCode="_-* #,##0.00_р_._-;\-* #,##0.00_р_._-;_-* &quot;-&quot;??_р_._-;_-@_-"/>
    <numFmt numFmtId="167" formatCode="_-* #,##0_р_._-;\-* #,##0_р_._-;_-* &quot;-&quot;??_р_._-;_-@_-"/>
    <numFmt numFmtId="168" formatCode="#,##0_ ;\-#,##0\ "/>
    <numFmt numFmtId="169" formatCode="#,##0.0"/>
    <numFmt numFmtId="170" formatCode="_-* #,##0.0_р_._-;\-* #,##0.0_р_._-;_-* &quot;-&quot;??_р_._-;_-@_-"/>
    <numFmt numFmtId="171" formatCode="0.0"/>
    <numFmt numFmtId="172" formatCode="#,##0,"/>
    <numFmt numFmtId="173" formatCode="0.000"/>
    <numFmt numFmtId="174" formatCode="##,###,"/>
    <numFmt numFmtId="175" formatCode="#,###.0,_ ;\-#,##0\ "/>
    <numFmt numFmtId="176" formatCode="0,"/>
    <numFmt numFmtId="177" formatCode="#,##0,_)&quot;*&quot;;[Red]\(#,##0,\)&quot;*&quot;"/>
    <numFmt numFmtId="178" formatCode="_(* #,##0_);_(* \(#,##0\);_(* &quot;-&quot;_);_(@_)"/>
    <numFmt numFmtId="179" formatCode="_(* #,##0.00_);_(* \(#,##0.00\);_(* &quot;-&quot;??_);_(@_)"/>
    <numFmt numFmtId="180" formatCode="#,##0.000_);[Red]\(#,##0.000\)"/>
    <numFmt numFmtId="181" formatCode="[$-419]General"/>
    <numFmt numFmtId="182" formatCode="General_)"/>
    <numFmt numFmtId="183" formatCode="&quot;£&quot;#,##0;\-&quot;£&quot;#,##0"/>
    <numFmt numFmtId="184" formatCode="_(* #,##0,_);_(* \(#,##0,\);_(* &quot;-&quot;??_);_(@_)"/>
    <numFmt numFmtId="185" formatCode="_(* #,##0_);_(* \(#,##0\);_(* &quot;-&quot;??_);_(@_)"/>
    <numFmt numFmtId="186" formatCode="0.00_)"/>
    <numFmt numFmtId="187" formatCode="_-* #,##0.00_р_._-;\-* #,##0.00_р_._-;_-* \-??_р_._-;_-@_-"/>
    <numFmt numFmtId="188" formatCode="#,##0,_);[Red]\(#,##0,\);\-_)"/>
    <numFmt numFmtId="189" formatCode="&quot;$&quot;#,##0_);[Red]\(&quot;$&quot;#,##0\)"/>
    <numFmt numFmtId="190" formatCode="&quot;kr&quot;\ #,##0;[Red]&quot;kr&quot;\ \-#,##0"/>
    <numFmt numFmtId="191" formatCode="&quot;kr&quot;\ #,##0.00;[Red]&quot;kr&quot;\ \-#,##0.00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#,##0.00&quot; &quot;[$руб.-419];[Red]&quot;-&quot;#,##0.00&quot; &quot;[$руб.-419]"/>
    <numFmt numFmtId="195" formatCode="\ #,##0.00&quot;    &quot;;\-#,##0.00&quot;    &quot;;&quot; -&quot;#&quot;    &quot;;@\ "/>
    <numFmt numFmtId="196" formatCode="##,###.000,"/>
    <numFmt numFmtId="197" formatCode="0.0%"/>
    <numFmt numFmtId="200" formatCode="##,###.0,"/>
    <numFmt numFmtId="201" formatCode="_-* #,##0.0_р_._-;\-* #,##0.0_р_._-;_-* &quot;-&quot;_р_._-;_-@_-"/>
    <numFmt numFmtId="202" formatCode="0,,"/>
  </numFmts>
  <fonts count="16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00CC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 Light"/>
      <family val="2"/>
      <charset val="204"/>
      <scheme val="major"/>
    </font>
    <font>
      <sz val="8"/>
      <name val="Arial Cyr"/>
      <charset val="204"/>
    </font>
    <font>
      <sz val="10"/>
      <name val="Arial CYR"/>
      <family val="2"/>
      <charset val="204"/>
    </font>
    <font>
      <sz val="10"/>
      <color indexed="18"/>
      <name val="Academy"/>
    </font>
    <font>
      <sz val="12"/>
      <name val="Times New Roman"/>
      <family val="1"/>
      <charset val="204"/>
    </font>
    <font>
      <strike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indexed="18"/>
      <name val="Arial Cyr"/>
      <family val="2"/>
      <charset val="204"/>
    </font>
    <font>
      <b/>
      <sz val="12"/>
      <name val="Arial Cyr"/>
      <family val="2"/>
      <charset val="204"/>
    </font>
    <font>
      <b/>
      <i/>
      <u/>
      <sz val="12"/>
      <name val="Arial Cyr"/>
    </font>
    <font>
      <b/>
      <sz val="12"/>
      <color indexed="9"/>
      <name val="Arial CYR"/>
      <family val="2"/>
      <charset val="204"/>
    </font>
    <font>
      <b/>
      <u/>
      <sz val="18"/>
      <color indexed="58"/>
      <name val="Arial Cyr"/>
      <family val="2"/>
      <charset val="204"/>
    </font>
    <font>
      <b/>
      <sz val="14"/>
      <name val="Times New Roman"/>
      <family val="1"/>
      <charset val="204"/>
    </font>
    <font>
      <i/>
      <sz val="10"/>
      <color indexed="12"/>
      <name val="PragmaticaCTT"/>
    </font>
    <font>
      <sz val="10"/>
      <name val="Geneva"/>
      <family val="2"/>
    </font>
    <font>
      <sz val="9"/>
      <name val="Tms Rmn"/>
    </font>
    <font>
      <b/>
      <sz val="16"/>
      <color indexed="10"/>
      <name val="PragmaticaCTT"/>
    </font>
    <font>
      <b/>
      <sz val="14"/>
      <color indexed="18"/>
      <name val="NewtonCTT"/>
    </font>
    <font>
      <b/>
      <sz val="12"/>
      <color indexed="17"/>
      <name val="NewtonCTT"/>
    </font>
    <font>
      <b/>
      <sz val="11"/>
      <name val="Helv"/>
    </font>
    <font>
      <sz val="7"/>
      <name val="Small Fonts"/>
      <family val="2"/>
      <charset val="204"/>
    </font>
    <font>
      <sz val="10"/>
      <name val="Impact"/>
      <family val="2"/>
    </font>
    <font>
      <b/>
      <i/>
      <sz val="16"/>
      <name val="Helv"/>
    </font>
    <font>
      <sz val="10"/>
      <name val="Helv"/>
    </font>
    <font>
      <i/>
      <sz val="10"/>
      <color indexed="25"/>
      <name val="Academy"/>
    </font>
    <font>
      <b/>
      <u/>
      <sz val="10"/>
      <name val="Arial"/>
      <family val="2"/>
      <charset val="204"/>
    </font>
    <font>
      <sz val="10"/>
      <name val="MS Sans Serif"/>
      <family val="2"/>
      <charset val="204"/>
    </font>
    <font>
      <sz val="8"/>
      <color indexed="8"/>
      <name val="PragmaticaCTT"/>
    </font>
    <font>
      <sz val="10"/>
      <name val="Frutiger 45"/>
    </font>
    <font>
      <b/>
      <sz val="10"/>
      <color indexed="12"/>
      <name val="Arial Cyr"/>
      <family val="2"/>
      <charset val="204"/>
    </font>
    <font>
      <b/>
      <i/>
      <sz val="10"/>
      <name val="Arial Cyr"/>
    </font>
    <font>
      <i/>
      <sz val="10"/>
      <name val="Arial CYR"/>
    </font>
    <font>
      <b/>
      <sz val="12"/>
      <color indexed="9"/>
      <name val="Arial Cy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sz val="11"/>
      <color indexed="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i/>
      <sz val="16"/>
      <color indexed="8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name val="Calibri Light"/>
      <family val="2"/>
      <charset val="204"/>
      <scheme val="major"/>
    </font>
    <font>
      <sz val="10"/>
      <color rgb="FF0000CC"/>
      <name val="Calibri Light"/>
      <family val="2"/>
      <charset val="204"/>
      <scheme val="major"/>
    </font>
    <font>
      <b/>
      <sz val="10"/>
      <color rgb="FF0000FF"/>
      <name val="Calibri Light"/>
      <family val="2"/>
      <charset val="204"/>
      <scheme val="major"/>
    </font>
    <font>
      <b/>
      <sz val="10"/>
      <color rgb="FFFF0000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0"/>
      <color rgb="FFFF0000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b/>
      <sz val="11"/>
      <color rgb="FF0000CC"/>
      <name val="Calibri Light"/>
      <family val="2"/>
      <charset val="204"/>
      <scheme val="major"/>
    </font>
    <font>
      <sz val="14"/>
      <color theme="1"/>
      <name val="Calibri Light"/>
      <family val="2"/>
      <charset val="204"/>
      <scheme val="major"/>
    </font>
    <font>
      <sz val="16"/>
      <color theme="1"/>
      <name val="Calibri"/>
      <family val="2"/>
      <charset val="204"/>
      <scheme val="minor"/>
    </font>
    <font>
      <sz val="16"/>
      <color rgb="FF0000CC"/>
      <name val="Calibri Light"/>
      <family val="2"/>
      <charset val="204"/>
      <scheme val="major"/>
    </font>
    <font>
      <sz val="14"/>
      <color theme="1"/>
      <name val="Calibri"/>
      <family val="2"/>
      <charset val="204"/>
      <scheme val="minor"/>
    </font>
    <font>
      <sz val="10"/>
      <color theme="2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color rgb="FF7030A0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indexed="8"/>
      <name val="Calibri Light"/>
      <family val="2"/>
      <charset val="204"/>
      <scheme val="major"/>
    </font>
    <font>
      <b/>
      <sz val="10"/>
      <color theme="1"/>
      <name val="Arial Narrow"/>
      <family val="2"/>
      <charset val="204"/>
    </font>
    <font>
      <sz val="10"/>
      <color rgb="FF0000FF"/>
      <name val="Calibri Light"/>
      <family val="2"/>
      <charset val="204"/>
      <scheme val="major"/>
    </font>
    <font>
      <b/>
      <sz val="10"/>
      <color rgb="FF0000CC"/>
      <name val="Calibri Light"/>
      <family val="2"/>
      <charset val="204"/>
      <scheme val="major"/>
    </font>
    <font>
      <sz val="10"/>
      <color indexed="8"/>
      <name val="Arial Narrow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 Light"/>
      <family val="2"/>
      <charset val="204"/>
      <scheme val="major"/>
    </font>
    <font>
      <sz val="10"/>
      <color theme="0"/>
      <name val="Calibri Light"/>
      <family val="2"/>
      <charset val="204"/>
      <scheme val="maj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 Light"/>
      <family val="2"/>
      <charset val="204"/>
    </font>
    <font>
      <b/>
      <sz val="11"/>
      <color indexed="8"/>
      <name val="Calibri Light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"/>
      <name val="Century Gothic"/>
      <family val="2"/>
      <charset val="204"/>
    </font>
    <font>
      <sz val="11"/>
      <color indexed="8"/>
      <name val="Century Gothic"/>
      <family val="2"/>
      <charset val="204"/>
    </font>
    <font>
      <b/>
      <sz val="11"/>
      <color rgb="FF000000"/>
      <name val="Century Gothic"/>
      <family val="2"/>
      <charset val="204"/>
    </font>
    <font>
      <b/>
      <sz val="15"/>
      <color theme="3"/>
      <name val="Arial Narrow"/>
      <family val="2"/>
      <charset val="204"/>
    </font>
    <font>
      <sz val="10"/>
      <color rgb="FF7030A0"/>
      <name val="Calibri Light"/>
      <family val="2"/>
      <charset val="204"/>
      <scheme val="major"/>
    </font>
    <font>
      <b/>
      <sz val="10"/>
      <color theme="3"/>
      <name val="Calibri Light"/>
      <family val="2"/>
      <charset val="204"/>
      <scheme val="major"/>
    </font>
    <font>
      <sz val="10"/>
      <color theme="0" tint="-0.14999847407452621"/>
      <name val="Calibri Light"/>
      <family val="2"/>
      <charset val="204"/>
      <scheme val="major"/>
    </font>
    <font>
      <b/>
      <sz val="10"/>
      <color rgb="FFFF0000"/>
      <name val="Calibri"/>
      <family val="2"/>
      <charset val="204"/>
      <scheme val="minor"/>
    </font>
    <font>
      <b/>
      <sz val="10"/>
      <color theme="0" tint="-0.249977111117893"/>
      <name val="Calibri"/>
      <family val="2"/>
      <charset val="204"/>
      <scheme val="minor"/>
    </font>
    <font>
      <sz val="12"/>
      <color theme="0" tint="-0.24997711111789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rgb="FFFF0000"/>
      <name val="Calibri Light"/>
      <family val="2"/>
      <charset val="204"/>
      <scheme val="major"/>
    </font>
    <font>
      <b/>
      <sz val="12"/>
      <color rgb="FFFF0000"/>
      <name val="Calibri"/>
      <family val="2"/>
      <charset val="204"/>
      <scheme val="minor"/>
    </font>
    <font>
      <b/>
      <sz val="14"/>
      <color theme="1"/>
      <name val="Muller"/>
      <family val="3"/>
    </font>
    <font>
      <sz val="14"/>
      <name val="Muller"/>
      <family val="3"/>
    </font>
    <font>
      <b/>
      <sz val="14"/>
      <name val="Muller"/>
      <family val="3"/>
    </font>
    <font>
      <b/>
      <sz val="11"/>
      <name val="Calibri"/>
      <family val="2"/>
      <charset val="204"/>
      <scheme val="minor"/>
    </font>
    <font>
      <b/>
      <sz val="11"/>
      <name val="Muller"/>
      <family val="3"/>
    </font>
    <font>
      <sz val="11"/>
      <name val="Muller"/>
      <family val="3"/>
    </font>
    <font>
      <sz val="11"/>
      <color indexed="8"/>
      <name val="Muller"/>
      <family val="3"/>
    </font>
    <font>
      <sz val="11"/>
      <color theme="1"/>
      <name val="Muller"/>
      <family val="3"/>
    </font>
    <font>
      <b/>
      <sz val="11"/>
      <color theme="1"/>
      <name val="Muller"/>
      <family val="3"/>
    </font>
    <font>
      <b/>
      <sz val="12"/>
      <color theme="1"/>
      <name val="Muller"/>
      <family val="3"/>
    </font>
    <font>
      <sz val="14"/>
      <color theme="1"/>
      <name val="Muller"/>
      <family val="3"/>
    </font>
    <font>
      <sz val="12"/>
      <name val="Muller"/>
      <family val="3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Muller"/>
      <family val="3"/>
    </font>
    <font>
      <sz val="8"/>
      <name val="Calibri Light"/>
      <family val="2"/>
      <charset val="204"/>
      <scheme val="major"/>
    </font>
    <font>
      <sz val="9"/>
      <name val="Century Gothic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8"/>
      <name val="Calibri Light"/>
      <family val="2"/>
      <charset val="204"/>
      <scheme val="major"/>
    </font>
    <font>
      <b/>
      <sz val="18"/>
      <color rgb="FF002060"/>
      <name val="Calibri Light"/>
      <family val="2"/>
      <charset val="204"/>
      <scheme val="major"/>
    </font>
    <font>
      <b/>
      <i/>
      <sz val="18"/>
      <color rgb="FF002060"/>
      <name val="Century Gothic"/>
      <family val="2"/>
      <charset val="204"/>
    </font>
    <font>
      <sz val="18"/>
      <color rgb="FF0070C0"/>
      <name val="Calibri Light"/>
      <family val="2"/>
      <charset val="204"/>
      <scheme val="major"/>
    </font>
    <font>
      <b/>
      <sz val="18"/>
      <color rgb="FF0070C0"/>
      <name val="Calibri Light"/>
      <family val="2"/>
      <charset val="204"/>
      <scheme val="major"/>
    </font>
    <font>
      <b/>
      <sz val="16"/>
      <color rgb="FF002060"/>
      <name val="Calibri Light"/>
      <family val="2"/>
      <charset val="204"/>
      <scheme val="major"/>
    </font>
    <font>
      <b/>
      <sz val="10"/>
      <color theme="0"/>
      <name val="Calibri Light"/>
      <family val="2"/>
      <charset val="204"/>
      <scheme val="major"/>
    </font>
    <font>
      <b/>
      <sz val="16"/>
      <color theme="8" tint="-0.499984740745262"/>
      <name val="Calibri Light"/>
      <family val="2"/>
      <charset val="204"/>
      <scheme val="major"/>
    </font>
    <font>
      <sz val="16"/>
      <color theme="0"/>
      <name val="Calibri Light"/>
      <family val="2"/>
      <charset val="204"/>
      <scheme val="major"/>
    </font>
    <font>
      <b/>
      <sz val="16"/>
      <color rgb="FF7030A0"/>
      <name val="Calibri Light"/>
      <family val="2"/>
      <charset val="204"/>
      <scheme val="major"/>
    </font>
    <font>
      <b/>
      <sz val="10"/>
      <color theme="8" tint="-0.499984740745262"/>
      <name val="Calibri Light"/>
      <family val="2"/>
      <charset val="204"/>
      <scheme val="major"/>
    </font>
    <font>
      <sz val="14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4"/>
      <color rgb="FF0070C0"/>
      <name val="Calibri Light"/>
      <family val="2"/>
      <charset val="204"/>
      <scheme val="major"/>
    </font>
    <font>
      <sz val="14"/>
      <color rgb="FF0070C0"/>
      <name val="Arial"/>
      <family val="2"/>
      <charset val="204"/>
    </font>
    <font>
      <b/>
      <sz val="14"/>
      <color theme="1"/>
      <name val="Abadi Extra Light"/>
      <family val="2"/>
    </font>
    <font>
      <sz val="11"/>
      <color theme="0"/>
      <name val="Calibri Light"/>
      <family val="2"/>
      <charset val="204"/>
      <scheme val="major"/>
    </font>
    <font>
      <b/>
      <sz val="18"/>
      <color theme="0"/>
      <name val="Calibri Light"/>
      <family val="2"/>
      <charset val="204"/>
      <scheme val="major"/>
    </font>
    <font>
      <sz val="18"/>
      <color theme="0"/>
      <name val="Calibri Light"/>
      <family val="2"/>
      <charset val="204"/>
      <scheme val="major"/>
    </font>
    <font>
      <sz val="10"/>
      <color rgb="FF00B0F0"/>
      <name val="Calibri Light"/>
      <family val="2"/>
      <charset val="204"/>
      <scheme val="major"/>
    </font>
    <font>
      <sz val="10"/>
      <color rgb="FF92D050"/>
      <name val="Calibri Light"/>
      <family val="2"/>
      <charset val="204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indexed="9"/>
      </patternFill>
    </fill>
    <fill>
      <patternFill patternType="gray0625">
        <fgColor indexed="10"/>
        <bgColor indexed="9"/>
      </patternFill>
    </fill>
    <fill>
      <patternFill patternType="solid">
        <fgColor indexed="3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6" tint="0.39994506668294322"/>
      </left>
      <right style="hair">
        <color theme="6" tint="0.39994506668294322"/>
      </right>
      <top style="thin">
        <color theme="6" tint="0.39994506668294322"/>
      </top>
      <bottom style="hair">
        <color theme="6" tint="0.39994506668294322"/>
      </bottom>
      <diagonal/>
    </border>
    <border>
      <left style="hair">
        <color theme="6" tint="0.39994506668294322"/>
      </left>
      <right style="hair">
        <color theme="6" tint="0.39994506668294322"/>
      </right>
      <top style="hair">
        <color theme="6" tint="0.39994506668294322"/>
      </top>
      <bottom style="hair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hair">
        <color theme="6" tint="0.39994506668294322"/>
      </bottom>
      <diagonal/>
    </border>
    <border>
      <left style="thin">
        <color theme="6" tint="0.39994506668294322"/>
      </left>
      <right/>
      <top style="hair">
        <color theme="6" tint="0.39994506668294322"/>
      </top>
      <bottom style="hair">
        <color theme="6" tint="0.39994506668294322"/>
      </bottom>
      <diagonal/>
    </border>
    <border>
      <left/>
      <right style="hair">
        <color theme="6" tint="0.39994506668294322"/>
      </right>
      <top style="thin">
        <color theme="6" tint="0.39994506668294322"/>
      </top>
      <bottom style="hair">
        <color theme="6" tint="0.39994506668294322"/>
      </bottom>
      <diagonal/>
    </border>
    <border>
      <left/>
      <right style="hair">
        <color theme="6" tint="0.39994506668294322"/>
      </right>
      <top style="hair">
        <color theme="6" tint="0.39994506668294322"/>
      </top>
      <bottom style="hair">
        <color theme="6" tint="0.39994506668294322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hair">
        <color theme="6" tint="0.39994506668294322"/>
      </bottom>
      <diagonal/>
    </border>
    <border>
      <left style="medium">
        <color theme="5"/>
      </left>
      <right style="medium">
        <color theme="5"/>
      </right>
      <top style="hair">
        <color theme="6" tint="0.39994506668294322"/>
      </top>
      <bottom style="hair">
        <color theme="6" tint="0.39994506668294322"/>
      </bottom>
      <diagonal/>
    </border>
    <border>
      <left style="medium">
        <color theme="5"/>
      </left>
      <right style="medium">
        <color theme="5"/>
      </right>
      <top style="hair">
        <color theme="6" tint="0.39994506668294322"/>
      </top>
      <bottom style="medium">
        <color theme="5"/>
      </bottom>
      <diagonal/>
    </border>
    <border>
      <left/>
      <right/>
      <top/>
      <bottom style="thick">
        <color theme="4"/>
      </bottom>
      <diagonal/>
    </border>
    <border>
      <left style="medium">
        <color rgb="FF99CCFF"/>
      </left>
      <right style="hair">
        <color rgb="FF99CCFF"/>
      </right>
      <top style="medium">
        <color rgb="FF99CCFF"/>
      </top>
      <bottom style="medium">
        <color rgb="FF99CCFF"/>
      </bottom>
      <diagonal/>
    </border>
    <border>
      <left style="hair">
        <color rgb="FF99CCFF"/>
      </left>
      <right style="hair">
        <color rgb="FF99CCFF"/>
      </right>
      <top style="medium">
        <color rgb="FF99CCFF"/>
      </top>
      <bottom style="medium">
        <color rgb="FF99CCFF"/>
      </bottom>
      <diagonal/>
    </border>
    <border>
      <left style="hair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hair">
        <color rgb="FF99CCFF"/>
      </right>
      <top/>
      <bottom style="hair">
        <color rgb="FF99CCFF"/>
      </bottom>
      <diagonal/>
    </border>
    <border>
      <left style="hair">
        <color rgb="FF99CCFF"/>
      </left>
      <right style="hair">
        <color rgb="FF99CCFF"/>
      </right>
      <top/>
      <bottom style="hair">
        <color rgb="FF99CCFF"/>
      </bottom>
      <diagonal/>
    </border>
    <border>
      <left style="hair">
        <color rgb="FF99CCFF"/>
      </left>
      <right style="medium">
        <color rgb="FF99CCFF"/>
      </right>
      <top/>
      <bottom style="hair">
        <color rgb="FF99CCFF"/>
      </bottom>
      <diagonal/>
    </border>
    <border>
      <left style="medium">
        <color rgb="FF99CCFF"/>
      </left>
      <right style="hair">
        <color rgb="FF99CCFF"/>
      </right>
      <top style="hair">
        <color rgb="FF99CCFF"/>
      </top>
      <bottom style="hair">
        <color rgb="FF99CCFF"/>
      </bottom>
      <diagonal/>
    </border>
    <border>
      <left style="hair">
        <color rgb="FF99CCFF"/>
      </left>
      <right style="hair">
        <color rgb="FF99CCFF"/>
      </right>
      <top style="hair">
        <color rgb="FF99CCFF"/>
      </top>
      <bottom style="hair">
        <color rgb="FF99CCFF"/>
      </bottom>
      <diagonal/>
    </border>
    <border>
      <left style="hair">
        <color rgb="FF99CCFF"/>
      </left>
      <right style="medium">
        <color rgb="FF99CCFF"/>
      </right>
      <top style="hair">
        <color rgb="FF99CCFF"/>
      </top>
      <bottom style="hair">
        <color rgb="FF99CCFF"/>
      </bottom>
      <diagonal/>
    </border>
    <border>
      <left style="medium">
        <color rgb="FF99CCFF"/>
      </left>
      <right style="hair">
        <color rgb="FF99CCFF"/>
      </right>
      <top style="hair">
        <color rgb="FF99CCFF"/>
      </top>
      <bottom/>
      <diagonal/>
    </border>
    <border>
      <left style="hair">
        <color rgb="FF99CCFF"/>
      </left>
      <right style="hair">
        <color rgb="FF99CCFF"/>
      </right>
      <top style="hair">
        <color rgb="FF99CCFF"/>
      </top>
      <bottom/>
      <diagonal/>
    </border>
    <border>
      <left style="hair">
        <color rgb="FF99CCFF"/>
      </left>
      <right style="medium">
        <color rgb="FF99CCFF"/>
      </right>
      <top style="hair">
        <color rgb="FF99CCFF"/>
      </top>
      <bottom/>
      <diagonal/>
    </border>
    <border>
      <left style="medium">
        <color rgb="FF99CCFF"/>
      </left>
      <right style="hair">
        <color rgb="FF99CCFF"/>
      </right>
      <top style="hair">
        <color rgb="FF99CCFF"/>
      </top>
      <bottom style="medium">
        <color rgb="FF99CCFF"/>
      </bottom>
      <diagonal/>
    </border>
    <border>
      <left style="hair">
        <color rgb="FF99CCFF"/>
      </left>
      <right style="hair">
        <color rgb="FF99CCFF"/>
      </right>
      <top style="hair">
        <color rgb="FF99CCFF"/>
      </top>
      <bottom style="medium">
        <color rgb="FF99CCFF"/>
      </bottom>
      <diagonal/>
    </border>
    <border>
      <left style="hair">
        <color rgb="FF99CCFF"/>
      </left>
      <right style="medium">
        <color rgb="FF99CCFF"/>
      </right>
      <top style="hair">
        <color rgb="FF99CCFF"/>
      </top>
      <bottom style="medium">
        <color rgb="FF99CCFF"/>
      </bottom>
      <diagonal/>
    </border>
    <border>
      <left style="thin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14996795556505021"/>
      </bottom>
      <diagonal/>
    </border>
    <border>
      <left style="double">
        <color theme="0" tint="-0.14993743705557422"/>
      </left>
      <right/>
      <top style="thin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thin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hair">
        <color theme="0" tint="-0.14996795556505021"/>
      </bottom>
      <diagonal/>
    </border>
    <border>
      <left/>
      <right/>
      <top style="thin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3743705557422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double">
        <color theme="0" tint="-0.14990691854609822"/>
      </left>
      <right/>
      <top style="double">
        <color theme="0" tint="-0.14990691854609822"/>
      </top>
      <bottom style="hair">
        <color theme="0" tint="-0.14996795556505021"/>
      </bottom>
      <diagonal/>
    </border>
    <border>
      <left style="double">
        <color theme="0" tint="-0.14990691854609822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B0F0"/>
      </bottom>
      <diagonal/>
    </border>
    <border>
      <left style="thick">
        <color rgb="FF00B0F0"/>
      </left>
      <right style="hair">
        <color rgb="FF99CCFF"/>
      </right>
      <top style="thick">
        <color rgb="FF00B0F0"/>
      </top>
      <bottom style="medium">
        <color rgb="FF99CCFF"/>
      </bottom>
      <diagonal/>
    </border>
    <border>
      <left style="hair">
        <color rgb="FF99CCFF"/>
      </left>
      <right style="hair">
        <color rgb="FF99CCFF"/>
      </right>
      <top style="thick">
        <color rgb="FF00B0F0"/>
      </top>
      <bottom style="medium">
        <color rgb="FF99CCFF"/>
      </bottom>
      <diagonal/>
    </border>
    <border>
      <left style="hair">
        <color rgb="FF99CCFF"/>
      </left>
      <right style="thick">
        <color rgb="FF00B0F0"/>
      </right>
      <top style="thick">
        <color rgb="FF00B0F0"/>
      </top>
      <bottom style="medium">
        <color rgb="FF99CCFF"/>
      </bottom>
      <diagonal/>
    </border>
    <border>
      <left style="thick">
        <color rgb="FF00B0F0"/>
      </left>
      <right style="hair">
        <color rgb="FF99CCFF"/>
      </right>
      <top style="hair">
        <color rgb="FF99CCFF"/>
      </top>
      <bottom style="hair">
        <color rgb="FF99CCFF"/>
      </bottom>
      <diagonal/>
    </border>
    <border>
      <left style="hair">
        <color rgb="FF99CCFF"/>
      </left>
      <right style="thick">
        <color rgb="FF00B0F0"/>
      </right>
      <top/>
      <bottom style="hair">
        <color rgb="FF99CCFF"/>
      </bottom>
      <diagonal/>
    </border>
    <border>
      <left style="hair">
        <color rgb="FF99CCFF"/>
      </left>
      <right style="thick">
        <color rgb="FF00B0F0"/>
      </right>
      <top style="hair">
        <color rgb="FF99CCFF"/>
      </top>
      <bottom style="hair">
        <color rgb="FF99CCFF"/>
      </bottom>
      <diagonal/>
    </border>
    <border>
      <left style="hair">
        <color rgb="FF99CCFF"/>
      </left>
      <right style="thick">
        <color rgb="FF00B0F0"/>
      </right>
      <top style="hair">
        <color rgb="FF99CCFF"/>
      </top>
      <bottom/>
      <diagonal/>
    </border>
    <border>
      <left style="thick">
        <color rgb="FF00B0F0"/>
      </left>
      <right style="hair">
        <color rgb="FF99CCFF"/>
      </right>
      <top style="hair">
        <color rgb="FF99CCFF"/>
      </top>
      <bottom style="thick">
        <color rgb="FF00B0F0"/>
      </bottom>
      <diagonal/>
    </border>
    <border>
      <left style="hair">
        <color rgb="FF99CCFF"/>
      </left>
      <right style="hair">
        <color rgb="FF99CCFF"/>
      </right>
      <top style="hair">
        <color rgb="FF99CCFF"/>
      </top>
      <bottom style="thick">
        <color rgb="FF00B0F0"/>
      </bottom>
      <diagonal/>
    </border>
    <border>
      <left style="hair">
        <color rgb="FF99CCFF"/>
      </left>
      <right style="thick">
        <color rgb="FF00B0F0"/>
      </right>
      <top style="hair">
        <color rgb="FF99CCFF"/>
      </top>
      <bottom style="thick">
        <color rgb="FF00B0F0"/>
      </bottom>
      <diagonal/>
    </border>
    <border>
      <left style="hair">
        <color rgb="FF99CCFF"/>
      </left>
      <right style="hair">
        <color rgb="FF99CCFF"/>
      </right>
      <top/>
      <bottom style="medium">
        <color rgb="FF99CCFF"/>
      </bottom>
      <diagonal/>
    </border>
    <border>
      <left style="hair">
        <color rgb="FF99CCFF"/>
      </left>
      <right style="medium">
        <color rgb="FF99CCFF"/>
      </right>
      <top/>
      <bottom style="medium">
        <color rgb="FF99CCFF"/>
      </bottom>
      <diagonal/>
    </border>
  </borders>
  <cellStyleXfs count="162">
    <xf numFmtId="0" fontId="0" fillId="0" borderId="0"/>
    <xf numFmtId="9" fontId="8" fillId="0" borderId="0" applyFill="0" applyBorder="0" applyProtection="0"/>
    <xf numFmtId="0" fontId="7" fillId="0" borderId="0"/>
    <xf numFmtId="0" fontId="11" fillId="0" borderId="0"/>
    <xf numFmtId="9" fontId="11" fillId="0" borderId="0" applyFont="0" applyFill="0" applyBorder="0" applyAlignment="0" applyProtection="0"/>
    <xf numFmtId="0" fontId="7" fillId="0" borderId="0"/>
    <xf numFmtId="0" fontId="17" fillId="0" borderId="0" applyNumberFormat="0" applyFill="0" applyBorder="0" applyAlignment="0" applyProtection="0"/>
    <xf numFmtId="0" fontId="18" fillId="0" borderId="0"/>
    <xf numFmtId="166" fontId="11" fillId="0" borderId="0" applyFont="0" applyFill="0" applyBorder="0" applyAlignment="0" applyProtection="0"/>
    <xf numFmtId="0" fontId="18" fillId="0" borderId="0"/>
    <xf numFmtId="0" fontId="8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2" fillId="0" borderId="0"/>
    <xf numFmtId="0" fontId="6" fillId="0" borderId="0"/>
    <xf numFmtId="0" fontId="25" fillId="0" borderId="0"/>
    <xf numFmtId="176" fontId="9" fillId="0" borderId="0" applyFont="0" applyFill="0" applyBorder="0" applyAlignment="0" applyProtection="0"/>
    <xf numFmtId="177" fontId="26" fillId="0" borderId="0"/>
    <xf numFmtId="0" fontId="27" fillId="0" borderId="0" applyNumberFormat="0" applyFill="0" applyBorder="0" applyAlignment="0" applyProtection="0"/>
    <xf numFmtId="37" fontId="26" fillId="0" borderId="1" applyNumberFormat="0" applyFont="0" applyFill="0" applyAlignment="0" applyProtection="0">
      <alignment horizontal="right" wrapText="1"/>
    </xf>
    <xf numFmtId="165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5" fontId="28" fillId="0" borderId="2">
      <protection locked="0"/>
    </xf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29" fillId="0" borderId="1">
      <alignment horizontal="right" wrapText="1"/>
    </xf>
    <xf numFmtId="0" fontId="30" fillId="5" borderId="5" applyNumberFormat="0" applyFont="0" applyBorder="0" applyAlignment="0" applyProtection="0">
      <alignment horizontal="center"/>
    </xf>
    <xf numFmtId="181" fontId="31" fillId="0" borderId="0" applyBorder="0" applyProtection="0"/>
    <xf numFmtId="38" fontId="26" fillId="0" borderId="0" applyFont="0" applyFill="0" applyBorder="0" applyAlignment="0" applyProtection="0">
      <alignment wrapText="1"/>
    </xf>
    <xf numFmtId="0" fontId="27" fillId="8" borderId="0" applyNumberFormat="0" applyFont="0" applyBorder="0" applyAlignment="0" applyProtection="0"/>
    <xf numFmtId="38" fontId="7" fillId="8" borderId="0" applyNumberFormat="0" applyBorder="0" applyAlignment="0" applyProtection="0"/>
    <xf numFmtId="0" fontId="32" fillId="0" borderId="0"/>
    <xf numFmtId="49" fontId="33" fillId="0" borderId="0">
      <alignment horizontal="left"/>
    </xf>
    <xf numFmtId="38" fontId="34" fillId="0" borderId="0" applyNumberFormat="0">
      <alignment wrapText="1"/>
    </xf>
    <xf numFmtId="0" fontId="35" fillId="9" borderId="0" applyNumberFormat="0" applyAlignment="0"/>
    <xf numFmtId="0" fontId="36" fillId="0" borderId="0"/>
    <xf numFmtId="0" fontId="37" fillId="10" borderId="0"/>
    <xf numFmtId="182" fontId="38" fillId="11" borderId="6" applyNumberFormat="0" applyAlignment="0">
      <alignment wrapText="1"/>
    </xf>
    <xf numFmtId="37" fontId="39" fillId="10" borderId="0">
      <protection locked="0"/>
    </xf>
    <xf numFmtId="10" fontId="7" fillId="5" borderId="4" applyNumberFormat="0" applyBorder="0" applyAlignment="0" applyProtection="0"/>
    <xf numFmtId="1" fontId="40" fillId="12" borderId="0" applyNumberFormat="0" applyFont="0" applyBorder="0" applyAlignment="0" applyProtection="0">
      <alignment horizontal="right"/>
    </xf>
    <xf numFmtId="183" fontId="8" fillId="0" borderId="1" applyFont="0" applyFill="0" applyBorder="0" applyAlignment="0" applyProtection="0"/>
    <xf numFmtId="184" fontId="10" fillId="0" borderId="0" applyFont="0" applyFill="0" applyBorder="0" applyAlignment="0" applyProtection="0"/>
    <xf numFmtId="0" fontId="41" fillId="0" borderId="0"/>
    <xf numFmtId="9" fontId="42" fillId="0" borderId="0"/>
    <xf numFmtId="9" fontId="43" fillId="0" borderId="0"/>
    <xf numFmtId="0" fontId="27" fillId="8" borderId="0" applyNumberFormat="0" applyBorder="0" applyProtection="0"/>
    <xf numFmtId="0" fontId="44" fillId="0" borderId="3"/>
    <xf numFmtId="0" fontId="27" fillId="0" borderId="0" applyNumberFormat="0" applyFont="0" applyFill="0" applyBorder="0" applyProtection="0">
      <alignment vertical="center" wrapText="1"/>
    </xf>
    <xf numFmtId="37" fontId="45" fillId="0" borderId="0"/>
    <xf numFmtId="185" fontId="46" fillId="0" borderId="0" applyNumberFormat="0" applyFont="0" applyFill="0" applyAlignment="0"/>
    <xf numFmtId="186" fontId="47" fillId="0" borderId="0"/>
    <xf numFmtId="0" fontId="48" fillId="0" borderId="0"/>
    <xf numFmtId="0" fontId="49" fillId="0" borderId="0" applyNumberFormat="0" applyFill="0" applyBorder="0" applyAlignment="0" applyProtection="0"/>
    <xf numFmtId="0" fontId="10" fillId="0" borderId="0"/>
    <xf numFmtId="10" fontId="8" fillId="0" borderId="0" applyFont="0" applyFill="0" applyBorder="0" applyAlignment="0" applyProtection="0"/>
    <xf numFmtId="0" fontId="8" fillId="0" borderId="0">
      <protection locked="0"/>
    </xf>
    <xf numFmtId="0" fontId="50" fillId="0" borderId="0">
      <protection locked="0"/>
    </xf>
    <xf numFmtId="0" fontId="8" fillId="0" borderId="0">
      <protection locked="0"/>
    </xf>
    <xf numFmtId="9" fontId="51" fillId="0" borderId="0" applyFont="0" applyFill="0" applyBorder="0" applyAlignment="0" applyProtection="0"/>
    <xf numFmtId="0" fontId="52" fillId="8" borderId="0" applyNumberFormat="0" applyFont="0" applyBorder="0" applyAlignment="0" applyProtection="0">
      <alignment horizontal="left" vertical="top" wrapText="1"/>
      <protection locked="0"/>
    </xf>
    <xf numFmtId="0" fontId="53" fillId="0" borderId="0"/>
    <xf numFmtId="38" fontId="54" fillId="0" borderId="0"/>
    <xf numFmtId="49" fontId="55" fillId="0" borderId="0">
      <alignment wrapText="1"/>
    </xf>
    <xf numFmtId="49" fontId="56" fillId="0" borderId="0">
      <alignment horizontal="right" wrapText="1"/>
    </xf>
    <xf numFmtId="187" fontId="31" fillId="0" borderId="0" applyBorder="0" applyProtection="0"/>
    <xf numFmtId="3" fontId="8" fillId="0" borderId="0"/>
    <xf numFmtId="188" fontId="26" fillId="0" borderId="1" applyFill="0" applyProtection="0"/>
    <xf numFmtId="182" fontId="57" fillId="13" borderId="6" applyAlignment="0">
      <alignment horizontal="center" wrapText="1"/>
    </xf>
    <xf numFmtId="0" fontId="33" fillId="14" borderId="6" applyNumberFormat="0">
      <alignment wrapText="1"/>
    </xf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8" fillId="0" borderId="0"/>
    <xf numFmtId="0" fontId="59" fillId="0" borderId="0" applyAlignment="0"/>
    <xf numFmtId="0" fontId="60" fillId="0" borderId="0"/>
    <xf numFmtId="0" fontId="10" fillId="0" borderId="0"/>
    <xf numFmtId="189" fontId="26" fillId="0" borderId="0"/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4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26" fillId="0" borderId="0"/>
    <xf numFmtId="0" fontId="67" fillId="0" borderId="0">
      <alignment horizontal="center"/>
    </xf>
    <xf numFmtId="0" fontId="67" fillId="0" borderId="0">
      <alignment horizontal="center"/>
    </xf>
    <xf numFmtId="0" fontId="68" fillId="0" borderId="0" applyNumberFormat="0" applyBorder="0" applyProtection="0">
      <alignment horizontal="center"/>
    </xf>
    <xf numFmtId="0" fontId="67" fillId="0" borderId="0">
      <alignment horizontal="center" textRotation="90"/>
    </xf>
    <xf numFmtId="0" fontId="67" fillId="0" borderId="0">
      <alignment horizontal="center" textRotation="90"/>
    </xf>
    <xf numFmtId="0" fontId="68" fillId="0" borderId="0" applyNumberFormat="0" applyBorder="0" applyProtection="0">
      <alignment horizontal="center" textRotation="90"/>
    </xf>
    <xf numFmtId="0" fontId="69" fillId="0" borderId="0"/>
    <xf numFmtId="0" fontId="69" fillId="0" borderId="0"/>
    <xf numFmtId="0" fontId="70" fillId="0" borderId="0" applyNumberFormat="0" applyBorder="0" applyProtection="0"/>
    <xf numFmtId="0" fontId="69" fillId="0" borderId="0"/>
    <xf numFmtId="0" fontId="69" fillId="0" borderId="0"/>
    <xf numFmtId="194" fontId="70" fillId="0" borderId="0" applyBorder="0" applyProtection="0"/>
    <xf numFmtId="0" fontId="71" fillId="0" borderId="0">
      <alignment horizontal="right" vertical="top"/>
    </xf>
    <xf numFmtId="0" fontId="72" fillId="0" borderId="0">
      <alignment horizontal="left" vertical="top"/>
    </xf>
    <xf numFmtId="0" fontId="71" fillId="0" borderId="0">
      <alignment horizontal="right" vertical="top"/>
    </xf>
    <xf numFmtId="0" fontId="73" fillId="0" borderId="0">
      <alignment horizontal="left" vertical="top"/>
    </xf>
    <xf numFmtId="0" fontId="74" fillId="0" borderId="0">
      <alignment horizontal="right" vertical="top"/>
    </xf>
    <xf numFmtId="0" fontId="74" fillId="0" borderId="0">
      <alignment horizontal="right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Protection="0"/>
    <xf numFmtId="0" fontId="75" fillId="0" borderId="0" applyNumberFormat="0" applyFill="0" applyBorder="0" applyAlignment="0" applyProtection="0"/>
    <xf numFmtId="0" fontId="76" fillId="0" borderId="0"/>
    <xf numFmtId="0" fontId="23" fillId="0" borderId="0"/>
    <xf numFmtId="0" fontId="77" fillId="0" borderId="0" applyNumberFormat="0" applyBorder="0" applyProtection="0"/>
    <xf numFmtId="0" fontId="23" fillId="0" borderId="0"/>
    <xf numFmtId="0" fontId="23" fillId="0" borderId="0"/>
    <xf numFmtId="0" fontId="78" fillId="0" borderId="0"/>
    <xf numFmtId="0" fontId="79" fillId="0" borderId="0"/>
    <xf numFmtId="0" fontId="77" fillId="0" borderId="0" applyNumberFormat="0" applyBorder="0" applyProtection="0"/>
    <xf numFmtId="0" fontId="80" fillId="0" borderId="0"/>
    <xf numFmtId="0" fontId="8" fillId="0" borderId="0"/>
    <xf numFmtId="0" fontId="8" fillId="0" borderId="0"/>
    <xf numFmtId="0" fontId="81" fillId="0" borderId="0"/>
    <xf numFmtId="0" fontId="78" fillId="0" borderId="0"/>
    <xf numFmtId="0" fontId="26" fillId="0" borderId="0"/>
    <xf numFmtId="0" fontId="82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Protection="0"/>
    <xf numFmtId="9" fontId="8" fillId="0" borderId="0" applyFill="0" applyBorder="0" applyAlignment="0" applyProtection="0"/>
    <xf numFmtId="9" fontId="81" fillId="0" borderId="0"/>
    <xf numFmtId="9" fontId="81" fillId="0" borderId="0"/>
    <xf numFmtId="9" fontId="8" fillId="0" borderId="0" applyFill="0" applyBorder="0" applyAlignment="0" applyProtection="0"/>
    <xf numFmtId="9" fontId="82" fillId="0" borderId="0" applyFont="0" applyFill="0" applyBorder="0" applyAlignment="0" applyProtection="0"/>
    <xf numFmtId="195" fontId="81" fillId="0" borderId="0"/>
    <xf numFmtId="195" fontId="81" fillId="0" borderId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2" fillId="0" borderId="0"/>
    <xf numFmtId="0" fontId="6" fillId="0" borderId="0"/>
    <xf numFmtId="164" fontId="2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8" fillId="0" borderId="18" applyNumberFormat="0" applyFill="0" applyAlignment="0" applyProtection="0"/>
    <xf numFmtId="0" fontId="2" fillId="0" borderId="0"/>
    <xf numFmtId="0" fontId="125" fillId="0" borderId="0" applyNumberFormat="0" applyFill="0" applyBorder="0" applyAlignment="0" applyProtection="0"/>
    <xf numFmtId="187" fontId="8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706">
    <xf numFmtId="0" fontId="0" fillId="0" borderId="0" xfId="0"/>
    <xf numFmtId="9" fontId="14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66" fillId="0" borderId="0" xfId="81" applyFont="1" applyFill="1" applyBorder="1" applyAlignment="1">
      <alignment vertical="center"/>
    </xf>
    <xf numFmtId="0" fontId="66" fillId="0" borderId="0" xfId="81" applyFont="1" applyFill="1" applyBorder="1" applyAlignment="1">
      <alignment horizontal="left" vertical="center"/>
    </xf>
    <xf numFmtId="0" fontId="63" fillId="0" borderId="0" xfId="81" applyFont="1" applyFill="1" applyBorder="1" applyAlignment="1">
      <alignment vertical="center"/>
    </xf>
    <xf numFmtId="0" fontId="62" fillId="0" borderId="0" xfId="81" applyFont="1" applyFill="1" applyBorder="1" applyAlignment="1">
      <alignment horizontal="center" vertical="center"/>
    </xf>
    <xf numFmtId="0" fontId="91" fillId="0" borderId="0" xfId="81" applyFont="1" applyFill="1" applyBorder="1" applyAlignment="1">
      <alignment horizontal="left" vertical="center" wrapText="1"/>
    </xf>
    <xf numFmtId="0" fontId="91" fillId="0" borderId="0" xfId="81" applyFont="1" applyFill="1" applyBorder="1" applyAlignment="1">
      <alignment horizontal="center" vertical="center"/>
    </xf>
    <xf numFmtId="9" fontId="91" fillId="0" borderId="0" xfId="136" applyFont="1" applyFill="1" applyBorder="1" applyAlignment="1">
      <alignment horizontal="right" vertical="center"/>
    </xf>
    <xf numFmtId="0" fontId="91" fillId="0" borderId="0" xfId="81" applyFont="1" applyFill="1" applyBorder="1" applyAlignment="1">
      <alignment vertical="center"/>
    </xf>
    <xf numFmtId="0" fontId="91" fillId="0" borderId="0" xfId="81" applyFont="1" applyFill="1" applyBorder="1" applyAlignment="1">
      <alignment horizontal="left" vertical="center"/>
    </xf>
    <xf numFmtId="0" fontId="61" fillId="0" borderId="0" xfId="81" applyFont="1" applyFill="1" applyBorder="1" applyAlignment="1" applyProtection="1">
      <alignment horizontal="left" vertical="center" wrapText="1"/>
      <protection locked="0"/>
    </xf>
    <xf numFmtId="168" fontId="66" fillId="0" borderId="0" xfId="81" applyNumberFormat="1" applyFont="1" applyFill="1" applyBorder="1" applyAlignment="1" applyProtection="1">
      <alignment horizontal="right" vertical="center"/>
      <protection locked="0"/>
    </xf>
    <xf numFmtId="9" fontId="62" fillId="0" borderId="0" xfId="1" applyFont="1" applyFill="1" applyBorder="1" applyProtection="1">
      <protection locked="0"/>
    </xf>
    <xf numFmtId="0" fontId="66" fillId="0" borderId="0" xfId="81" applyFont="1" applyFill="1" applyBorder="1" applyAlignment="1" applyProtection="1">
      <alignment vertical="center"/>
      <protection locked="0"/>
    </xf>
    <xf numFmtId="0" fontId="66" fillId="0" borderId="0" xfId="81" applyFont="1" applyFill="1" applyBorder="1" applyAlignment="1" applyProtection="1">
      <alignment horizontal="left" vertical="center"/>
      <protection locked="0"/>
    </xf>
    <xf numFmtId="0" fontId="66" fillId="0" borderId="0" xfId="81" applyFont="1" applyBorder="1" applyAlignment="1" applyProtection="1">
      <alignment horizontal="left" vertical="center" wrapText="1"/>
      <protection locked="0"/>
    </xf>
    <xf numFmtId="0" fontId="61" fillId="0" borderId="0" xfId="81" applyFont="1" applyBorder="1" applyAlignment="1" applyProtection="1">
      <alignment horizontal="left" vertical="center"/>
      <protection locked="0"/>
    </xf>
    <xf numFmtId="0" fontId="66" fillId="0" borderId="0" xfId="81" applyFont="1" applyBorder="1" applyAlignment="1" applyProtection="1">
      <alignment horizontal="left" vertical="center"/>
      <protection locked="0"/>
    </xf>
    <xf numFmtId="0" fontId="66" fillId="0" borderId="0" xfId="81" applyFont="1" applyBorder="1" applyAlignment="1" applyProtection="1">
      <alignment horizontal="right" vertical="center"/>
      <protection locked="0"/>
    </xf>
    <xf numFmtId="0" fontId="66" fillId="0" borderId="0" xfId="81" applyFont="1" applyBorder="1" applyAlignment="1" applyProtection="1">
      <alignment horizontal="center" vertical="center"/>
      <protection locked="0"/>
    </xf>
    <xf numFmtId="0" fontId="61" fillId="0" borderId="0" xfId="81" applyFont="1" applyFill="1" applyBorder="1" applyAlignment="1">
      <alignment horizontal="left" vertical="center"/>
    </xf>
    <xf numFmtId="0" fontId="66" fillId="0" borderId="0" xfId="81" applyFont="1" applyFill="1" applyBorder="1" applyAlignment="1">
      <alignment horizontal="right" vertical="center"/>
    </xf>
    <xf numFmtId="0" fontId="92" fillId="0" borderId="0" xfId="81" applyFont="1" applyBorder="1" applyAlignment="1">
      <alignment horizontal="left" vertical="top" wrapText="1"/>
    </xf>
    <xf numFmtId="0" fontId="66" fillId="0" borderId="0" xfId="81" applyFont="1" applyBorder="1" applyAlignment="1">
      <alignment horizontal="center" vertical="top" wrapText="1"/>
    </xf>
    <xf numFmtId="0" fontId="66" fillId="0" borderId="0" xfId="81" applyFont="1" applyFill="1" applyBorder="1" applyAlignment="1">
      <alignment horizontal="center" vertical="top"/>
    </xf>
    <xf numFmtId="0" fontId="61" fillId="0" borderId="0" xfId="81" applyFont="1" applyBorder="1" applyAlignment="1">
      <alignment horizontal="center" vertical="top"/>
    </xf>
    <xf numFmtId="0" fontId="94" fillId="0" borderId="0" xfId="0" applyFont="1" applyAlignment="1">
      <alignment vertical="top"/>
    </xf>
    <xf numFmtId="0" fontId="64" fillId="0" borderId="0" xfId="0" applyFont="1"/>
    <xf numFmtId="0" fontId="87" fillId="0" borderId="0" xfId="0" applyFont="1" applyAlignment="1">
      <alignment vertical="top"/>
    </xf>
    <xf numFmtId="0" fontId="64" fillId="0" borderId="0" xfId="0" applyFont="1" applyAlignment="1">
      <alignment vertical="top"/>
    </xf>
    <xf numFmtId="0" fontId="87" fillId="0" borderId="0" xfId="0" applyFont="1" applyAlignment="1">
      <alignment horizontal="center"/>
    </xf>
    <xf numFmtId="0" fontId="87" fillId="0" borderId="0" xfId="0" applyFont="1"/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 vertical="top" wrapText="1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left" vertical="center" wrapText="1"/>
    </xf>
    <xf numFmtId="9" fontId="95" fillId="16" borderId="0" xfId="142" applyFont="1" applyFill="1" applyBorder="1" applyAlignment="1">
      <alignment horizontal="right" vertical="center"/>
    </xf>
    <xf numFmtId="3" fontId="95" fillId="16" borderId="0" xfId="142" applyNumberFormat="1" applyFont="1" applyFill="1" applyBorder="1" applyAlignment="1">
      <alignment vertical="center"/>
    </xf>
    <xf numFmtId="9" fontId="16" fillId="0" borderId="0" xfId="142" applyFont="1" applyFill="1" applyBorder="1" applyAlignment="1">
      <alignment horizontal="right" vertical="center"/>
    </xf>
    <xf numFmtId="9" fontId="12" fillId="0" borderId="0" xfId="142" applyFont="1" applyFill="1" applyBorder="1" applyAlignment="1">
      <alignment horizontal="right" vertical="center"/>
    </xf>
    <xf numFmtId="9" fontId="14" fillId="6" borderId="0" xfId="1" applyFont="1" applyFill="1" applyBorder="1" applyAlignment="1" applyProtection="1">
      <alignment horizontal="center" vertical="top"/>
      <protection locked="0"/>
    </xf>
    <xf numFmtId="9" fontId="13" fillId="0" borderId="0" xfId="142" applyFont="1" applyFill="1" applyBorder="1" applyAlignment="1">
      <alignment horizontal="right" vertical="center"/>
    </xf>
    <xf numFmtId="9" fontId="14" fillId="0" borderId="0" xfId="1" applyFont="1" applyFill="1" applyBorder="1" applyAlignment="1" applyProtection="1">
      <alignment horizontal="center" vertical="top"/>
      <protection locked="0"/>
    </xf>
    <xf numFmtId="3" fontId="95" fillId="16" borderId="0" xfId="142" applyNumberFormat="1" applyFont="1" applyFill="1" applyBorder="1" applyAlignment="1">
      <alignment horizontal="center" vertical="center"/>
    </xf>
    <xf numFmtId="9" fontId="12" fillId="0" borderId="0" xfId="142" applyFont="1" applyFill="1" applyBorder="1" applyAlignment="1" applyProtection="1">
      <alignment vertical="center"/>
      <protection locked="0"/>
    </xf>
    <xf numFmtId="0" fontId="66" fillId="16" borderId="0" xfId="81" applyFont="1" applyFill="1" applyBorder="1" applyAlignment="1">
      <alignment horizontal="left" vertical="center" wrapText="1"/>
    </xf>
    <xf numFmtId="0" fontId="66" fillId="16" borderId="0" xfId="81" applyFont="1" applyFill="1" applyBorder="1" applyAlignment="1">
      <alignment horizontal="center" vertical="center"/>
    </xf>
    <xf numFmtId="167" fontId="66" fillId="16" borderId="0" xfId="81" applyNumberFormat="1" applyFont="1" applyFill="1" applyBorder="1" applyAlignment="1">
      <alignment horizontal="right" vertical="center"/>
    </xf>
    <xf numFmtId="3" fontId="66" fillId="16" borderId="0" xfId="81" applyNumberFormat="1" applyFont="1" applyFill="1" applyBorder="1" applyAlignment="1">
      <alignment horizontal="right" vertical="center"/>
    </xf>
    <xf numFmtId="9" fontId="66" fillId="16" borderId="0" xfId="136" applyFont="1" applyFill="1" applyBorder="1" applyAlignment="1">
      <alignment horizontal="right" vertical="center"/>
    </xf>
    <xf numFmtId="3" fontId="66" fillId="6" borderId="0" xfId="81" applyNumberFormat="1" applyFont="1" applyFill="1" applyBorder="1" applyAlignment="1" applyProtection="1">
      <alignment horizontal="center" vertical="center"/>
      <protection locked="0"/>
    </xf>
    <xf numFmtId="3" fontId="61" fillId="6" borderId="0" xfId="81" applyNumberFormat="1" applyFont="1" applyFill="1" applyBorder="1" applyAlignment="1">
      <alignment horizontal="center" vertical="center"/>
    </xf>
    <xf numFmtId="3" fontId="13" fillId="6" borderId="0" xfId="81" applyNumberFormat="1" applyFont="1" applyFill="1" applyBorder="1" applyAlignment="1">
      <alignment horizontal="left" vertical="center"/>
    </xf>
    <xf numFmtId="167" fontId="61" fillId="0" borderId="0" xfId="81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>
      <alignment vertical="center"/>
    </xf>
    <xf numFmtId="9" fontId="97" fillId="16" borderId="0" xfId="142" applyFont="1" applyFill="1" applyBorder="1" applyAlignment="1">
      <alignment horizontal="right" vertical="center"/>
    </xf>
    <xf numFmtId="3" fontId="97" fillId="16" borderId="0" xfId="142" applyNumberFormat="1" applyFont="1" applyFill="1" applyBorder="1" applyAlignment="1">
      <alignment vertical="center"/>
    </xf>
    <xf numFmtId="164" fontId="13" fillId="0" borderId="0" xfId="140" applyFont="1" applyBorder="1" applyAlignment="1">
      <alignment horizontal="left" vertical="center"/>
    </xf>
    <xf numFmtId="164" fontId="97" fillId="0" borderId="0" xfId="140" applyFont="1" applyBorder="1" applyAlignment="1">
      <alignment horizontal="left" vertical="center"/>
    </xf>
    <xf numFmtId="0" fontId="61" fillId="16" borderId="0" xfId="81" applyFont="1" applyFill="1" applyBorder="1" applyAlignment="1">
      <alignment horizontal="left" vertical="center" wrapText="1" indent="2"/>
    </xf>
    <xf numFmtId="167" fontId="61" fillId="16" borderId="0" xfId="81" applyNumberFormat="1" applyFont="1" applyFill="1" applyBorder="1" applyAlignment="1">
      <alignment horizontal="right" vertical="center"/>
    </xf>
    <xf numFmtId="3" fontId="61" fillId="16" borderId="0" xfId="81" applyNumberFormat="1" applyFont="1" applyFill="1" applyBorder="1" applyAlignment="1">
      <alignment horizontal="right" vertical="center"/>
    </xf>
    <xf numFmtId="9" fontId="61" fillId="16" borderId="0" xfId="136" applyFont="1" applyFill="1" applyBorder="1" applyAlignment="1">
      <alignment horizontal="right" vertical="center"/>
    </xf>
    <xf numFmtId="0" fontId="61" fillId="0" borderId="0" xfId="81" applyFont="1" applyFill="1" applyBorder="1" applyAlignment="1">
      <alignment horizontal="center" vertical="top"/>
    </xf>
    <xf numFmtId="0" fontId="92" fillId="0" borderId="0" xfId="81" applyFont="1" applyFill="1" applyBorder="1" applyAlignment="1" applyProtection="1">
      <alignment vertical="center" wrapText="1"/>
      <protection locked="0"/>
    </xf>
    <xf numFmtId="0" fontId="102" fillId="0" borderId="0" xfId="0" applyFont="1" applyFill="1" applyAlignment="1" applyProtection="1">
      <alignment horizontal="right" vertical="center"/>
    </xf>
    <xf numFmtId="0" fontId="107" fillId="0" borderId="0" xfId="0" applyFont="1"/>
    <xf numFmtId="0" fontId="102" fillId="0" borderId="0" xfId="0" applyFont="1" applyFill="1" applyAlignment="1" applyProtection="1">
      <alignment vertical="center"/>
    </xf>
    <xf numFmtId="0" fontId="102" fillId="0" borderId="0" xfId="0" applyFont="1" applyFill="1"/>
    <xf numFmtId="9" fontId="24" fillId="0" borderId="0" xfId="1" applyNumberFormat="1" applyFont="1" applyAlignment="1">
      <alignment vertical="center"/>
    </xf>
    <xf numFmtId="0" fontId="102" fillId="0" borderId="0" xfId="0" applyFont="1"/>
    <xf numFmtId="0" fontId="24" fillId="0" borderId="0" xfId="2" applyNumberFormat="1" applyFont="1" applyFill="1" applyAlignment="1" applyProtection="1">
      <alignment horizontal="right" vertical="center"/>
    </xf>
    <xf numFmtId="0" fontId="102" fillId="0" borderId="0" xfId="0" applyFont="1" applyFill="1" applyAlignment="1" applyProtection="1">
      <alignment horizontal="right" vertical="center" wrapText="1"/>
    </xf>
    <xf numFmtId="0" fontId="24" fillId="0" borderId="0" xfId="2" applyNumberFormat="1" applyFont="1" applyFill="1" applyAlignment="1" applyProtection="1">
      <alignment horizontal="center" vertical="center"/>
      <protection locked="0"/>
    </xf>
    <xf numFmtId="0" fontId="24" fillId="0" borderId="0" xfId="2" applyFont="1" applyFill="1" applyAlignment="1" applyProtection="1">
      <alignment horizontal="center" vertical="center"/>
      <protection locked="0"/>
    </xf>
    <xf numFmtId="0" fontId="65" fillId="0" borderId="0" xfId="141" applyFont="1" applyFill="1" applyBorder="1" applyAlignment="1">
      <alignment horizontal="center" vertical="center"/>
    </xf>
    <xf numFmtId="0" fontId="65" fillId="0" borderId="0" xfId="141" applyFont="1" applyFill="1" applyBorder="1" applyAlignment="1">
      <alignment vertical="center" wrapText="1"/>
    </xf>
    <xf numFmtId="0" fontId="83" fillId="0" borderId="0" xfId="0" applyFont="1" applyAlignment="1">
      <alignment vertical="center"/>
    </xf>
    <xf numFmtId="9" fontId="24" fillId="0" borderId="0" xfId="0" applyNumberFormat="1" applyFont="1" applyAlignment="1">
      <alignment vertical="center"/>
    </xf>
    <xf numFmtId="0" fontId="83" fillId="0" borderId="0" xfId="2" applyNumberFormat="1" applyFont="1" applyFill="1" applyAlignment="1" applyProtection="1">
      <alignment horizontal="left" vertical="center"/>
    </xf>
    <xf numFmtId="0" fontId="102" fillId="0" borderId="0" xfId="0" applyFont="1" applyFill="1" applyAlignment="1" applyProtection="1">
      <alignment horizontal="center" vertical="center"/>
    </xf>
    <xf numFmtId="9" fontId="24" fillId="6" borderId="0" xfId="1" applyFont="1" applyFill="1" applyAlignment="1" applyProtection="1">
      <alignment horizontal="center"/>
    </xf>
    <xf numFmtId="0" fontId="24" fillId="6" borderId="0" xfId="2" applyFont="1" applyFill="1" applyAlignment="1" applyProtection="1">
      <alignment horizontal="center" vertical="center"/>
    </xf>
    <xf numFmtId="0" fontId="24" fillId="6" borderId="0" xfId="2" applyFont="1" applyFill="1" applyAlignment="1" applyProtection="1">
      <alignment horizontal="center" vertical="center"/>
      <protection locked="0"/>
    </xf>
    <xf numFmtId="0" fontId="65" fillId="0" borderId="9" xfId="14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vertical="center"/>
    </xf>
    <xf numFmtId="9" fontId="24" fillId="18" borderId="10" xfId="1" applyFont="1" applyFill="1" applyBorder="1" applyAlignment="1">
      <alignment vertical="center"/>
    </xf>
    <xf numFmtId="3" fontId="83" fillId="0" borderId="10" xfId="0" applyNumberFormat="1" applyFont="1" applyFill="1" applyBorder="1" applyAlignment="1">
      <alignment vertical="center"/>
    </xf>
    <xf numFmtId="9" fontId="24" fillId="0" borderId="10" xfId="1" applyNumberFormat="1" applyFont="1" applyFill="1" applyBorder="1" applyAlignment="1">
      <alignment vertical="center"/>
    </xf>
    <xf numFmtId="9" fontId="24" fillId="18" borderId="10" xfId="1" applyNumberFormat="1" applyFont="1" applyFill="1" applyBorder="1" applyAlignment="1">
      <alignment horizontal="right" vertical="center"/>
    </xf>
    <xf numFmtId="9" fontId="83" fillId="0" borderId="10" xfId="1" applyFont="1" applyFill="1" applyBorder="1" applyAlignment="1">
      <alignment horizontal="right" vertical="center"/>
    </xf>
    <xf numFmtId="9" fontId="24" fillId="0" borderId="10" xfId="1" applyFont="1" applyFill="1" applyBorder="1" applyAlignment="1">
      <alignment horizontal="right" vertical="center"/>
    </xf>
    <xf numFmtId="0" fontId="24" fillId="0" borderId="11" xfId="0" applyFont="1" applyBorder="1" applyAlignment="1">
      <alignment horizontal="left" vertical="center"/>
    </xf>
    <xf numFmtId="0" fontId="24" fillId="18" borderId="12" xfId="5" applyNumberFormat="1" applyFont="1" applyFill="1" applyBorder="1" applyAlignment="1">
      <alignment horizontal="right" vertical="center"/>
    </xf>
    <xf numFmtId="0" fontId="83" fillId="0" borderId="12" xfId="5" applyNumberFormat="1" applyFont="1" applyFill="1" applyBorder="1" applyAlignment="1">
      <alignment horizontal="left" vertical="center"/>
    </xf>
    <xf numFmtId="0" fontId="24" fillId="18" borderId="12" xfId="5" applyNumberFormat="1" applyFont="1" applyFill="1" applyBorder="1" applyAlignment="1">
      <alignment horizontal="left" vertical="center"/>
    </xf>
    <xf numFmtId="9" fontId="24" fillId="18" borderId="12" xfId="1" applyNumberFormat="1" applyFont="1" applyFill="1" applyBorder="1" applyAlignment="1">
      <alignment horizontal="left" vertical="center" indent="4"/>
    </xf>
    <xf numFmtId="0" fontId="24" fillId="0" borderId="13" xfId="2" applyNumberFormat="1" applyFont="1" applyBorder="1" applyAlignment="1" applyProtection="1">
      <alignment horizontal="center" vertical="center" wrapText="1"/>
      <protection locked="0"/>
    </xf>
    <xf numFmtId="0" fontId="24" fillId="18" borderId="14" xfId="5" applyNumberFormat="1" applyFont="1" applyFill="1" applyBorder="1" applyAlignment="1">
      <alignment horizontal="center" vertical="center"/>
    </xf>
    <xf numFmtId="0" fontId="83" fillId="0" borderId="14" xfId="5" applyNumberFormat="1" applyFont="1" applyFill="1" applyBorder="1" applyAlignment="1">
      <alignment horizontal="center" vertical="center"/>
    </xf>
    <xf numFmtId="9" fontId="24" fillId="6" borderId="14" xfId="5" applyNumberFormat="1" applyFont="1" applyFill="1" applyBorder="1" applyAlignment="1">
      <alignment horizontal="center" vertical="center"/>
    </xf>
    <xf numFmtId="9" fontId="24" fillId="18" borderId="14" xfId="1" applyNumberFormat="1" applyFont="1" applyFill="1" applyBorder="1" applyAlignment="1">
      <alignment horizontal="center" vertical="center"/>
    </xf>
    <xf numFmtId="0" fontId="24" fillId="0" borderId="14" xfId="5" applyNumberFormat="1" applyFont="1" applyFill="1" applyBorder="1" applyAlignment="1">
      <alignment horizontal="center" vertical="center"/>
    </xf>
    <xf numFmtId="0" fontId="24" fillId="6" borderId="14" xfId="5" applyNumberFormat="1" applyFont="1" applyFill="1" applyBorder="1" applyAlignment="1">
      <alignment horizontal="center" vertical="center"/>
    </xf>
    <xf numFmtId="9" fontId="24" fillId="18" borderId="14" xfId="1" applyNumberFormat="1" applyFont="1" applyFill="1" applyBorder="1" applyAlignment="1">
      <alignment horizontal="left" vertical="center" indent="4"/>
    </xf>
    <xf numFmtId="0" fontId="83" fillId="19" borderId="12" xfId="5" applyNumberFormat="1" applyFont="1" applyFill="1" applyBorder="1" applyAlignment="1">
      <alignment horizontal="left" vertical="center"/>
    </xf>
    <xf numFmtId="0" fontId="83" fillId="19" borderId="14" xfId="5" applyNumberFormat="1" applyFont="1" applyFill="1" applyBorder="1" applyAlignment="1">
      <alignment horizontal="left" vertical="center"/>
    </xf>
    <xf numFmtId="3" fontId="83" fillId="19" borderId="10" xfId="5" applyNumberFormat="1" applyFont="1" applyFill="1" applyBorder="1" applyAlignment="1">
      <alignment horizontal="right" vertical="center"/>
    </xf>
    <xf numFmtId="9" fontId="83" fillId="19" borderId="10" xfId="1" applyNumberFormat="1" applyFont="1" applyFill="1" applyBorder="1" applyAlignment="1">
      <alignment vertical="center"/>
    </xf>
    <xf numFmtId="0" fontId="24" fillId="0" borderId="15" xfId="2" applyNumberFormat="1" applyFont="1" applyFill="1" applyBorder="1" applyAlignment="1" applyProtection="1">
      <alignment horizontal="center" vertical="center" wrapText="1"/>
    </xf>
    <xf numFmtId="0" fontId="83" fillId="19" borderId="16" xfId="5" applyNumberFormat="1" applyFont="1" applyFill="1" applyBorder="1" applyAlignment="1">
      <alignment horizontal="left" vertical="center"/>
    </xf>
    <xf numFmtId="0" fontId="24" fillId="0" borderId="16" xfId="5" applyNumberFormat="1" applyFont="1" applyFill="1" applyBorder="1" applyAlignment="1">
      <alignment horizontal="right" vertical="center"/>
    </xf>
    <xf numFmtId="0" fontId="83" fillId="0" borderId="16" xfId="5" applyNumberFormat="1" applyFont="1" applyFill="1" applyBorder="1" applyAlignment="1">
      <alignment horizontal="left" vertical="center"/>
    </xf>
    <xf numFmtId="9" fontId="24" fillId="0" borderId="16" xfId="5" applyNumberFormat="1" applyFont="1" applyFill="1" applyBorder="1" applyAlignment="1">
      <alignment horizontal="center" vertical="center"/>
    </xf>
    <xf numFmtId="9" fontId="24" fillId="18" borderId="16" xfId="1" applyNumberFormat="1" applyFont="1" applyFill="1" applyBorder="1" applyAlignment="1">
      <alignment horizontal="left" vertical="center" indent="4"/>
    </xf>
    <xf numFmtId="9" fontId="24" fillId="17" borderId="16" xfId="5" applyNumberFormat="1" applyFont="1" applyFill="1" applyBorder="1" applyAlignment="1">
      <alignment horizontal="center" vertical="center"/>
    </xf>
    <xf numFmtId="3" fontId="24" fillId="0" borderId="16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10" fontId="24" fillId="0" borderId="16" xfId="1" applyNumberFormat="1" applyFont="1" applyFill="1" applyBorder="1" applyAlignment="1">
      <alignment horizontal="center"/>
    </xf>
    <xf numFmtId="9" fontId="24" fillId="0" borderId="16" xfId="1" applyFont="1" applyFill="1" applyBorder="1" applyAlignment="1">
      <alignment horizontal="center"/>
    </xf>
    <xf numFmtId="0" fontId="83" fillId="19" borderId="17" xfId="5" applyNumberFormat="1" applyFont="1" applyFill="1" applyBorder="1" applyAlignment="1">
      <alignment horizontal="left" vertical="center"/>
    </xf>
    <xf numFmtId="3" fontId="24" fillId="18" borderId="16" xfId="1" applyNumberFormat="1" applyFont="1" applyFill="1" applyBorder="1" applyAlignment="1">
      <alignment horizontal="left" vertical="center" indent="4"/>
    </xf>
    <xf numFmtId="3" fontId="83" fillId="0" borderId="16" xfId="5" applyNumberFormat="1" applyFont="1" applyFill="1" applyBorder="1" applyAlignment="1">
      <alignment horizontal="left" vertical="center"/>
    </xf>
    <xf numFmtId="3" fontId="24" fillId="0" borderId="16" xfId="5" applyNumberFormat="1" applyFont="1" applyFill="1" applyBorder="1" applyAlignment="1">
      <alignment horizontal="left" vertical="center"/>
    </xf>
    <xf numFmtId="3" fontId="24" fillId="0" borderId="16" xfId="1" applyNumberFormat="1" applyFont="1" applyFill="1" applyBorder="1" applyAlignment="1">
      <alignment horizontal="left" vertical="center" indent="4"/>
    </xf>
    <xf numFmtId="3" fontId="24" fillId="18" borderId="16" xfId="5" applyNumberFormat="1" applyFont="1" applyFill="1" applyBorder="1" applyAlignment="1">
      <alignment horizontal="left" vertical="center"/>
    </xf>
    <xf numFmtId="0" fontId="65" fillId="6" borderId="0" xfId="81" applyFont="1" applyFill="1" applyAlignment="1">
      <alignment vertical="center"/>
    </xf>
    <xf numFmtId="0" fontId="65" fillId="0" borderId="0" xfId="81" applyFont="1" applyAlignment="1">
      <alignment vertical="center"/>
    </xf>
    <xf numFmtId="165" fontId="65" fillId="0" borderId="0" xfId="81" applyNumberFormat="1" applyFont="1" applyAlignment="1">
      <alignment vertical="center"/>
    </xf>
    <xf numFmtId="9" fontId="65" fillId="0" borderId="0" xfId="81" applyNumberFormat="1" applyFont="1" applyAlignment="1">
      <alignment vertical="center"/>
    </xf>
    <xf numFmtId="165" fontId="65" fillId="0" borderId="0" xfId="81" applyNumberFormat="1" applyFont="1" applyFill="1" applyAlignment="1">
      <alignment vertical="center"/>
    </xf>
    <xf numFmtId="0" fontId="65" fillId="0" borderId="0" xfId="81" applyFont="1" applyAlignment="1">
      <alignment vertical="center" wrapText="1"/>
    </xf>
    <xf numFmtId="0" fontId="86" fillId="0" borderId="0" xfId="81" applyFont="1" applyBorder="1" applyAlignment="1">
      <alignment vertical="center" wrapText="1"/>
    </xf>
    <xf numFmtId="0" fontId="65" fillId="0" borderId="0" xfId="81" applyFont="1" applyBorder="1" applyAlignment="1">
      <alignment vertical="center" wrapText="1"/>
    </xf>
    <xf numFmtId="0" fontId="65" fillId="0" borderId="0" xfId="81" applyFont="1" applyBorder="1" applyAlignment="1">
      <alignment horizontal="center" vertical="center" wrapText="1"/>
    </xf>
    <xf numFmtId="165" fontId="65" fillId="0" borderId="0" xfId="81" applyNumberFormat="1" applyFont="1" applyBorder="1" applyAlignment="1">
      <alignment horizontal="center" vertical="center" wrapText="1"/>
    </xf>
    <xf numFmtId="0" fontId="109" fillId="0" borderId="0" xfId="81" applyFont="1" applyAlignment="1">
      <alignment vertical="center" wrapText="1"/>
    </xf>
    <xf numFmtId="3" fontId="24" fillId="0" borderId="0" xfId="9" applyNumberFormat="1" applyFont="1" applyFill="1" applyBorder="1" applyAlignment="1">
      <alignment vertical="center" wrapText="1"/>
    </xf>
    <xf numFmtId="3" fontId="24" fillId="0" borderId="8" xfId="9" applyNumberFormat="1" applyFont="1" applyFill="1" applyBorder="1" applyAlignment="1">
      <alignment horizontal="center" vertical="center" wrapText="1"/>
    </xf>
    <xf numFmtId="165" fontId="24" fillId="0" borderId="8" xfId="9" applyNumberFormat="1" applyFont="1" applyFill="1" applyBorder="1" applyAlignment="1">
      <alignment horizontal="center" vertical="center" wrapText="1"/>
    </xf>
    <xf numFmtId="9" fontId="65" fillId="0" borderId="8" xfId="81" applyNumberFormat="1" applyFont="1" applyBorder="1" applyAlignment="1">
      <alignment horizontal="center" vertical="center" wrapText="1"/>
    </xf>
    <xf numFmtId="0" fontId="65" fillId="0" borderId="8" xfId="81" applyFont="1" applyBorder="1" applyAlignment="1">
      <alignment horizontal="center" vertical="center" wrapText="1"/>
    </xf>
    <xf numFmtId="165" fontId="65" fillId="0" borderId="8" xfId="81" applyNumberFormat="1" applyFont="1" applyBorder="1" applyAlignment="1">
      <alignment horizontal="center" vertical="center" wrapText="1"/>
    </xf>
    <xf numFmtId="3" fontId="24" fillId="0" borderId="0" xfId="9" applyNumberFormat="1" applyFont="1" applyFill="1" applyBorder="1" applyAlignment="1">
      <alignment vertical="center"/>
    </xf>
    <xf numFmtId="165" fontId="24" fillId="0" borderId="8" xfId="9" applyNumberFormat="1" applyFont="1" applyFill="1" applyBorder="1" applyAlignment="1" applyProtection="1">
      <alignment vertical="center"/>
      <protection locked="0"/>
    </xf>
    <xf numFmtId="3" fontId="102" fillId="0" borderId="8" xfId="9" applyNumberFormat="1" applyFont="1" applyFill="1" applyBorder="1" applyAlignment="1">
      <alignment horizontal="left" vertical="center"/>
    </xf>
    <xf numFmtId="3" fontId="83" fillId="0" borderId="0" xfId="9" applyNumberFormat="1" applyFont="1" applyFill="1" applyBorder="1" applyAlignment="1">
      <alignment vertical="center"/>
    </xf>
    <xf numFmtId="3" fontId="108" fillId="0" borderId="8" xfId="9" applyNumberFormat="1" applyFont="1" applyFill="1" applyBorder="1" applyAlignment="1">
      <alignment horizontal="left" vertical="center"/>
    </xf>
    <xf numFmtId="165" fontId="108" fillId="0" borderId="8" xfId="9" applyNumberFormat="1" applyFont="1" applyFill="1" applyBorder="1" applyAlignment="1">
      <alignment horizontal="center" vertical="center"/>
    </xf>
    <xf numFmtId="9" fontId="83" fillId="0" borderId="8" xfId="9" applyNumberFormat="1" applyFont="1" applyFill="1" applyBorder="1" applyAlignment="1" applyProtection="1">
      <alignment horizontal="center" vertical="center"/>
      <protection locked="0"/>
    </xf>
    <xf numFmtId="3" fontId="83" fillId="0" borderId="8" xfId="9" applyNumberFormat="1" applyFont="1" applyFill="1" applyBorder="1" applyAlignment="1" applyProtection="1">
      <alignment horizontal="center" vertical="center"/>
      <protection locked="0"/>
    </xf>
    <xf numFmtId="165" fontId="83" fillId="0" borderId="8" xfId="9" applyNumberFormat="1" applyFont="1" applyFill="1" applyBorder="1" applyAlignment="1" applyProtection="1">
      <alignment horizontal="center" vertical="center"/>
      <protection locked="0"/>
    </xf>
    <xf numFmtId="0" fontId="86" fillId="0" borderId="0" xfId="81" applyFont="1" applyBorder="1" applyAlignment="1">
      <alignment vertical="center"/>
    </xf>
    <xf numFmtId="165" fontId="65" fillId="0" borderId="0" xfId="81" applyNumberFormat="1" applyFont="1" applyBorder="1" applyAlignment="1">
      <alignment vertical="center" wrapText="1"/>
    </xf>
    <xf numFmtId="3" fontId="108" fillId="0" borderId="0" xfId="9" applyNumberFormat="1" applyFont="1" applyFill="1" applyBorder="1" applyAlignment="1">
      <alignment horizontal="left" vertical="center"/>
    </xf>
    <xf numFmtId="3" fontId="108" fillId="0" borderId="0" xfId="9" applyNumberFormat="1" applyFont="1" applyFill="1" applyBorder="1" applyAlignment="1">
      <alignment horizontal="center" vertical="center"/>
    </xf>
    <xf numFmtId="165" fontId="108" fillId="0" borderId="0" xfId="9" applyNumberFormat="1" applyFont="1" applyFill="1" applyBorder="1" applyAlignment="1">
      <alignment horizontal="center" vertical="center"/>
    </xf>
    <xf numFmtId="9" fontId="83" fillId="0" borderId="0" xfId="9" applyNumberFormat="1" applyFont="1" applyFill="1" applyBorder="1" applyAlignment="1" applyProtection="1">
      <alignment horizontal="center" vertical="center"/>
      <protection locked="0"/>
    </xf>
    <xf numFmtId="3" fontId="83" fillId="0" borderId="0" xfId="9" applyNumberFormat="1" applyFont="1" applyFill="1" applyBorder="1" applyAlignment="1" applyProtection="1">
      <alignment horizontal="center" vertical="center"/>
      <protection locked="0"/>
    </xf>
    <xf numFmtId="165" fontId="83" fillId="0" borderId="0" xfId="9" applyNumberFormat="1" applyFont="1" applyFill="1" applyBorder="1" applyAlignment="1" applyProtection="1">
      <alignment horizontal="center" vertical="center"/>
      <protection locked="0"/>
    </xf>
    <xf numFmtId="165" fontId="83" fillId="0" borderId="0" xfId="9" applyNumberFormat="1" applyFont="1" applyFill="1" applyBorder="1" applyAlignment="1" applyProtection="1">
      <alignment vertical="center"/>
      <protection locked="0"/>
    </xf>
    <xf numFmtId="0" fontId="24" fillId="0" borderId="12" xfId="5" applyNumberFormat="1" applyFont="1" applyFill="1" applyBorder="1" applyAlignment="1">
      <alignment horizontal="left" vertical="center"/>
    </xf>
    <xf numFmtId="3" fontId="83" fillId="0" borderId="14" xfId="5" applyNumberFormat="1" applyFont="1" applyFill="1" applyBorder="1" applyAlignment="1">
      <alignment horizontal="center" vertical="center"/>
    </xf>
    <xf numFmtId="3" fontId="24" fillId="6" borderId="14" xfId="5" applyNumberFormat="1" applyFont="1" applyFill="1" applyBorder="1" applyAlignment="1">
      <alignment horizontal="center" vertical="center"/>
    </xf>
    <xf numFmtId="197" fontId="24" fillId="6" borderId="14" xfId="5" applyNumberFormat="1" applyFont="1" applyFill="1" applyBorder="1" applyAlignment="1">
      <alignment horizontal="center" vertical="center"/>
    </xf>
    <xf numFmtId="0" fontId="85" fillId="0" borderId="0" xfId="81" applyFont="1" applyAlignment="1">
      <alignment vertical="center"/>
    </xf>
    <xf numFmtId="0" fontId="65" fillId="0" borderId="0" xfId="81" applyFont="1" applyFill="1" applyAlignment="1">
      <alignment vertical="center"/>
    </xf>
    <xf numFmtId="0" fontId="86" fillId="0" borderId="0" xfId="81" applyFont="1" applyFill="1" applyBorder="1" applyAlignment="1">
      <alignment vertical="center" wrapText="1"/>
    </xf>
    <xf numFmtId="0" fontId="65" fillId="0" borderId="0" xfId="81" applyFont="1" applyFill="1" applyBorder="1" applyAlignment="1">
      <alignment vertical="center" wrapText="1"/>
    </xf>
    <xf numFmtId="3" fontId="24" fillId="0" borderId="7" xfId="9" applyNumberFormat="1" applyFont="1" applyFill="1" applyBorder="1" applyAlignment="1">
      <alignment horizontal="center" vertical="center" wrapText="1"/>
    </xf>
    <xf numFmtId="165" fontId="24" fillId="0" borderId="7" xfId="9" applyNumberFormat="1" applyFont="1" applyFill="1" applyBorder="1" applyAlignment="1">
      <alignment horizontal="center" vertical="center" wrapText="1"/>
    </xf>
    <xf numFmtId="9" fontId="65" fillId="0" borderId="7" xfId="81" applyNumberFormat="1" applyFont="1" applyBorder="1" applyAlignment="1">
      <alignment horizontal="center" vertical="center" wrapText="1"/>
    </xf>
    <xf numFmtId="0" fontId="65" fillId="0" borderId="7" xfId="81" applyFont="1" applyBorder="1" applyAlignment="1">
      <alignment horizontal="center" vertical="center" wrapText="1"/>
    </xf>
    <xf numFmtId="165" fontId="65" fillId="0" borderId="7" xfId="81" applyNumberFormat="1" applyFont="1" applyBorder="1" applyAlignment="1">
      <alignment horizontal="center" vertical="center" wrapText="1"/>
    </xf>
    <xf numFmtId="3" fontId="102" fillId="0" borderId="7" xfId="9" applyNumberFormat="1" applyFont="1" applyFill="1" applyBorder="1" applyAlignment="1">
      <alignment horizontal="left" vertical="center" wrapText="1"/>
    </xf>
    <xf numFmtId="165" fontId="102" fillId="6" borderId="7" xfId="9" applyNumberFormat="1" applyFont="1" applyFill="1" applyBorder="1" applyAlignment="1">
      <alignment vertical="center"/>
    </xf>
    <xf numFmtId="9" fontId="24" fillId="6" borderId="7" xfId="9" applyNumberFormat="1" applyFont="1" applyFill="1" applyBorder="1" applyAlignment="1">
      <alignment vertical="center"/>
    </xf>
    <xf numFmtId="3" fontId="24" fillId="0" borderId="7" xfId="9" applyNumberFormat="1" applyFont="1" applyFill="1" applyBorder="1" applyAlignment="1" applyProtection="1">
      <alignment vertical="center"/>
      <protection locked="0"/>
    </xf>
    <xf numFmtId="165" fontId="24" fillId="0" borderId="7" xfId="9" applyNumberFormat="1" applyFont="1" applyFill="1" applyBorder="1" applyAlignment="1" applyProtection="1">
      <alignment vertical="center"/>
      <protection locked="0"/>
    </xf>
    <xf numFmtId="3" fontId="102" fillId="0" borderId="7" xfId="9" applyNumberFormat="1" applyFont="1" applyFill="1" applyBorder="1" applyAlignment="1">
      <alignment horizontal="left" vertical="center"/>
    </xf>
    <xf numFmtId="3" fontId="108" fillId="0" borderId="7" xfId="9" applyNumberFormat="1" applyFont="1" applyFill="1" applyBorder="1" applyAlignment="1">
      <alignment horizontal="left" vertical="center"/>
    </xf>
    <xf numFmtId="165" fontId="108" fillId="0" borderId="7" xfId="9" applyNumberFormat="1" applyFont="1" applyFill="1" applyBorder="1" applyAlignment="1">
      <alignment vertical="center"/>
    </xf>
    <xf numFmtId="9" fontId="83" fillId="0" borderId="7" xfId="9" applyNumberFormat="1" applyFont="1" applyFill="1" applyBorder="1" applyAlignment="1" applyProtection="1">
      <alignment vertical="center"/>
      <protection locked="0"/>
    </xf>
    <xf numFmtId="3" fontId="83" fillId="0" borderId="7" xfId="9" applyNumberFormat="1" applyFont="1" applyFill="1" applyBorder="1" applyAlignment="1" applyProtection="1">
      <alignment vertical="center"/>
      <protection locked="0"/>
    </xf>
    <xf numFmtId="165" fontId="83" fillId="0" borderId="7" xfId="9" applyNumberFormat="1" applyFont="1" applyFill="1" applyBorder="1" applyAlignment="1" applyProtection="1">
      <alignment vertical="center"/>
      <protection locked="0"/>
    </xf>
    <xf numFmtId="9" fontId="65" fillId="0" borderId="7" xfId="81" applyNumberFormat="1" applyFont="1" applyFill="1" applyBorder="1" applyAlignment="1">
      <alignment horizontal="center" vertical="center" wrapText="1"/>
    </xf>
    <xf numFmtId="9" fontId="24" fillId="0" borderId="7" xfId="9" applyNumberFormat="1" applyFont="1" applyFill="1" applyBorder="1" applyAlignment="1">
      <alignment vertical="center"/>
    </xf>
    <xf numFmtId="3" fontId="102" fillId="6" borderId="7" xfId="9" applyNumberFormat="1" applyFont="1" applyFill="1" applyBorder="1" applyAlignment="1">
      <alignment horizontal="center" vertical="center"/>
    </xf>
    <xf numFmtId="9" fontId="24" fillId="0" borderId="14" xfId="5" applyNumberFormat="1" applyFont="1" applyFill="1" applyBorder="1" applyAlignment="1">
      <alignment horizontal="center" vertical="center"/>
    </xf>
    <xf numFmtId="0" fontId="104" fillId="0" borderId="0" xfId="3" applyFont="1" applyFill="1" applyBorder="1" applyAlignment="1">
      <alignment horizontal="left" vertical="center" wrapText="1" indent="1"/>
    </xf>
    <xf numFmtId="0" fontId="90" fillId="2" borderId="0" xfId="3" applyFont="1" applyFill="1" applyBorder="1" applyAlignment="1">
      <alignment horizontal="left" indent="1"/>
    </xf>
    <xf numFmtId="0" fontId="65" fillId="0" borderId="0" xfId="3" applyFont="1" applyBorder="1" applyAlignment="1">
      <alignment horizontal="center"/>
    </xf>
    <xf numFmtId="0" fontId="90" fillId="0" borderId="0" xfId="3" applyFont="1" applyBorder="1" applyAlignment="1">
      <alignment horizontal="left" indent="1"/>
    </xf>
    <xf numFmtId="49" fontId="90" fillId="2" borderId="0" xfId="3" applyNumberFormat="1" applyFont="1" applyFill="1" applyBorder="1" applyAlignment="1">
      <alignment horizontal="center"/>
    </xf>
    <xf numFmtId="0" fontId="90" fillId="0" borderId="0" xfId="3" applyFont="1" applyFill="1" applyBorder="1" applyAlignment="1">
      <alignment horizontal="left" wrapText="1" indent="1"/>
    </xf>
    <xf numFmtId="0" fontId="90" fillId="2" borderId="0" xfId="3" applyFont="1" applyFill="1" applyBorder="1" applyAlignment="1">
      <alignment horizontal="center"/>
    </xf>
    <xf numFmtId="0" fontId="65" fillId="0" borderId="0" xfId="3" applyFont="1" applyFill="1" applyBorder="1" applyAlignment="1">
      <alignment horizontal="left" indent="1"/>
    </xf>
    <xf numFmtId="9" fontId="90" fillId="2" borderId="0" xfId="3" applyNumberFormat="1" applyFont="1" applyFill="1" applyBorder="1" applyAlignment="1">
      <alignment horizontal="left" indent="1"/>
    </xf>
    <xf numFmtId="167" fontId="90" fillId="0" borderId="0" xfId="3" applyNumberFormat="1" applyFont="1" applyFill="1" applyBorder="1"/>
    <xf numFmtId="0" fontId="90" fillId="0" borderId="0" xfId="3" applyFont="1" applyFill="1" applyBorder="1" applyAlignment="1">
      <alignment horizontal="left" indent="1"/>
    </xf>
    <xf numFmtId="167" fontId="65" fillId="0" borderId="0" xfId="3" applyNumberFormat="1" applyFont="1" applyFill="1" applyBorder="1"/>
    <xf numFmtId="173" fontId="90" fillId="2" borderId="0" xfId="3" applyNumberFormat="1" applyFont="1" applyFill="1" applyBorder="1" applyAlignment="1">
      <alignment horizontal="left" indent="1"/>
    </xf>
    <xf numFmtId="0" fontId="85" fillId="0" borderId="0" xfId="3" applyFont="1" applyFill="1" applyBorder="1" applyAlignment="1">
      <alignment horizontal="left" indent="1"/>
    </xf>
    <xf numFmtId="174" fontId="83" fillId="2" borderId="0" xfId="7" applyNumberFormat="1" applyFont="1" applyFill="1" applyBorder="1" applyAlignment="1">
      <alignment horizontal="center" vertical="center"/>
    </xf>
    <xf numFmtId="196" fontId="65" fillId="0" borderId="0" xfId="3" applyNumberFormat="1" applyFont="1" applyFill="1" applyBorder="1" applyAlignment="1">
      <alignment horizontal="left" indent="1"/>
    </xf>
    <xf numFmtId="174" fontId="24" fillId="0" borderId="0" xfId="7" applyNumberFormat="1" applyFont="1" applyFill="1" applyBorder="1" applyAlignment="1">
      <alignment horizontal="center" vertical="center"/>
    </xf>
    <xf numFmtId="9" fontId="90" fillId="2" borderId="0" xfId="4" applyFont="1" applyFill="1" applyBorder="1" applyAlignment="1">
      <alignment horizontal="center"/>
    </xf>
    <xf numFmtId="9" fontId="90" fillId="0" borderId="0" xfId="4" applyFont="1" applyFill="1" applyBorder="1" applyAlignment="1">
      <alignment horizontal="center"/>
    </xf>
    <xf numFmtId="9" fontId="65" fillId="2" borderId="0" xfId="3" applyNumberFormat="1" applyFont="1" applyFill="1" applyBorder="1" applyAlignment="1">
      <alignment horizontal="center"/>
    </xf>
    <xf numFmtId="167" fontId="65" fillId="0" borderId="0" xfId="3" applyNumberFormat="1" applyFont="1" applyFill="1" applyBorder="1" applyAlignment="1">
      <alignment horizontal="center"/>
    </xf>
    <xf numFmtId="174" fontId="89" fillId="6" borderId="0" xfId="7" applyNumberFormat="1" applyFont="1" applyFill="1" applyBorder="1" applyAlignment="1">
      <alignment horizontal="center" vertical="center"/>
    </xf>
    <xf numFmtId="0" fontId="84" fillId="0" borderId="0" xfId="3" applyFont="1" applyFill="1" applyBorder="1" applyAlignment="1">
      <alignment horizontal="left" indent="1"/>
    </xf>
    <xf numFmtId="174" fontId="105" fillId="2" borderId="0" xfId="7" applyNumberFormat="1" applyFont="1" applyFill="1" applyBorder="1" applyAlignment="1">
      <alignment horizontal="center" vertical="center"/>
    </xf>
    <xf numFmtId="174" fontId="84" fillId="0" borderId="0" xfId="7" applyNumberFormat="1" applyFont="1" applyFill="1" applyBorder="1" applyAlignment="1">
      <alignment horizontal="center" vertical="center"/>
    </xf>
    <xf numFmtId="9" fontId="90" fillId="2" borderId="0" xfId="3" applyNumberFormat="1" applyFont="1" applyFill="1" applyBorder="1" applyAlignment="1">
      <alignment horizontal="center"/>
    </xf>
    <xf numFmtId="167" fontId="90" fillId="2" borderId="0" xfId="8" applyNumberFormat="1" applyFont="1" applyFill="1" applyBorder="1" applyAlignment="1" applyProtection="1">
      <alignment horizontal="center"/>
      <protection locked="0"/>
    </xf>
    <xf numFmtId="170" fontId="90" fillId="2" borderId="0" xfId="8" applyNumberFormat="1" applyFont="1" applyFill="1" applyBorder="1" applyAlignment="1" applyProtection="1">
      <alignment horizontal="center"/>
      <protection locked="0"/>
    </xf>
    <xf numFmtId="197" fontId="90" fillId="2" borderId="0" xfId="8" applyNumberFormat="1" applyFont="1" applyFill="1" applyBorder="1" applyAlignment="1" applyProtection="1">
      <alignment horizontal="center"/>
      <protection locked="0"/>
    </xf>
    <xf numFmtId="0" fontId="4" fillId="0" borderId="0" xfId="3" applyFont="1" applyFill="1" applyBorder="1"/>
    <xf numFmtId="0" fontId="103" fillId="0" borderId="0" xfId="3" applyFont="1" applyFill="1" applyBorder="1"/>
    <xf numFmtId="174" fontId="4" fillId="0" borderId="0" xfId="3" applyNumberFormat="1" applyFont="1" applyFill="1" applyBorder="1"/>
    <xf numFmtId="0" fontId="4" fillId="0" borderId="0" xfId="3" applyFont="1" applyBorder="1"/>
    <xf numFmtId="0" fontId="103" fillId="0" borderId="0" xfId="3" applyFont="1" applyBorder="1"/>
    <xf numFmtId="0" fontId="103" fillId="4" borderId="0" xfId="3" applyFont="1" applyFill="1" applyBorder="1"/>
    <xf numFmtId="175" fontId="103" fillId="0" borderId="0" xfId="3" applyNumberFormat="1" applyFont="1" applyBorder="1"/>
    <xf numFmtId="9" fontId="103" fillId="0" borderId="0" xfId="4" applyFont="1" applyBorder="1"/>
    <xf numFmtId="9" fontId="106" fillId="0" borderId="0" xfId="4" applyFont="1" applyBorder="1"/>
    <xf numFmtId="174" fontId="90" fillId="2" borderId="0" xfId="7" applyNumberFormat="1" applyFont="1" applyFill="1" applyBorder="1" applyAlignment="1">
      <alignment horizontal="center" vertical="center"/>
    </xf>
    <xf numFmtId="174" fontId="65" fillId="0" borderId="0" xfId="7" applyNumberFormat="1" applyFont="1" applyFill="1" applyBorder="1" applyAlignment="1">
      <alignment horizontal="center" vertical="center"/>
    </xf>
    <xf numFmtId="9" fontId="65" fillId="0" borderId="0" xfId="4" applyFont="1" applyFill="1" applyBorder="1" applyAlignment="1">
      <alignment horizontal="center"/>
    </xf>
    <xf numFmtId="174" fontId="90" fillId="0" borderId="0" xfId="7" applyNumberFormat="1" applyFont="1" applyFill="1" applyBorder="1" applyAlignment="1">
      <alignment horizontal="center" vertical="center"/>
    </xf>
    <xf numFmtId="173" fontId="65" fillId="20" borderId="0" xfId="3" applyNumberFormat="1" applyFont="1" applyFill="1" applyBorder="1" applyAlignment="1">
      <alignment horizontal="center"/>
    </xf>
    <xf numFmtId="173" fontId="90" fillId="20" borderId="0" xfId="3" applyNumberFormat="1" applyFont="1" applyFill="1" applyBorder="1" applyAlignment="1">
      <alignment horizontal="center"/>
    </xf>
    <xf numFmtId="0" fontId="65" fillId="20" borderId="0" xfId="3" applyFont="1" applyFill="1" applyBorder="1" applyAlignment="1">
      <alignment horizontal="center"/>
    </xf>
    <xf numFmtId="0" fontId="90" fillId="20" borderId="0" xfId="3" applyFont="1" applyFill="1" applyBorder="1" applyAlignment="1">
      <alignment horizontal="center"/>
    </xf>
    <xf numFmtId="167" fontId="90" fillId="20" borderId="0" xfId="3" applyNumberFormat="1" applyFont="1" applyFill="1" applyBorder="1"/>
    <xf numFmtId="167" fontId="65" fillId="20" borderId="0" xfId="3" applyNumberFormat="1" applyFont="1" applyFill="1" applyBorder="1"/>
    <xf numFmtId="9" fontId="24" fillId="20" borderId="0" xfId="1" applyFont="1" applyFill="1" applyBorder="1"/>
    <xf numFmtId="174" fontId="90" fillId="20" borderId="0" xfId="7" applyNumberFormat="1" applyFont="1" applyFill="1" applyBorder="1" applyAlignment="1">
      <alignment horizontal="center" vertical="center"/>
    </xf>
    <xf numFmtId="174" fontId="65" fillId="20" borderId="0" xfId="7" applyNumberFormat="1" applyFont="1" applyFill="1" applyBorder="1" applyAlignment="1">
      <alignment horizontal="center" vertical="center"/>
    </xf>
    <xf numFmtId="9" fontId="65" fillId="20" borderId="0" xfId="4" applyFont="1" applyFill="1" applyBorder="1" applyAlignment="1">
      <alignment horizontal="center"/>
    </xf>
    <xf numFmtId="9" fontId="90" fillId="20" borderId="0" xfId="4" applyFont="1" applyFill="1" applyBorder="1" applyAlignment="1">
      <alignment horizontal="center"/>
    </xf>
    <xf numFmtId="167" fontId="65" fillId="20" borderId="0" xfId="3" applyNumberFormat="1" applyFont="1" applyFill="1" applyBorder="1" applyAlignment="1">
      <alignment horizontal="center"/>
    </xf>
    <xf numFmtId="167" fontId="90" fillId="20" borderId="0" xfId="3" applyNumberFormat="1" applyFont="1" applyFill="1" applyBorder="1" applyAlignment="1">
      <alignment horizontal="center"/>
    </xf>
    <xf numFmtId="174" fontId="24" fillId="20" borderId="0" xfId="7" applyNumberFormat="1" applyFont="1" applyFill="1" applyBorder="1" applyAlignment="1">
      <alignment horizontal="center" vertical="center"/>
    </xf>
    <xf numFmtId="174" fontId="89" fillId="20" borderId="0" xfId="7" applyNumberFormat="1" applyFont="1" applyFill="1" applyBorder="1" applyAlignment="1">
      <alignment horizontal="center" vertical="center"/>
    </xf>
    <xf numFmtId="174" fontId="84" fillId="20" borderId="0" xfId="7" applyNumberFormat="1" applyFont="1" applyFill="1" applyBorder="1" applyAlignment="1">
      <alignment horizontal="center" vertical="center"/>
    </xf>
    <xf numFmtId="0" fontId="87" fillId="21" borderId="0" xfId="0" applyFont="1" applyFill="1"/>
    <xf numFmtId="0" fontId="110" fillId="0" borderId="0" xfId="0" applyFont="1"/>
    <xf numFmtId="0" fontId="64" fillId="21" borderId="0" xfId="0" applyFont="1" applyFill="1"/>
    <xf numFmtId="3" fontId="66" fillId="16" borderId="0" xfId="81" applyNumberFormat="1" applyFont="1" applyFill="1" applyBorder="1" applyAlignment="1">
      <alignment horizontal="center" vertical="center"/>
    </xf>
    <xf numFmtId="9" fontId="62" fillId="0" borderId="0" xfId="1" applyFont="1" applyFill="1" applyBorder="1" applyProtection="1">
      <protection locked="0"/>
    </xf>
    <xf numFmtId="3" fontId="24" fillId="0" borderId="0" xfId="9" applyNumberFormat="1" applyFont="1" applyFill="1" applyBorder="1" applyAlignment="1">
      <alignment vertical="center"/>
    </xf>
    <xf numFmtId="3" fontId="24" fillId="0" borderId="7" xfId="9" applyNumberFormat="1" applyFont="1" applyFill="1" applyBorder="1" applyAlignment="1" applyProtection="1">
      <alignment vertical="center"/>
      <protection locked="0"/>
    </xf>
    <xf numFmtId="165" fontId="24" fillId="0" borderId="7" xfId="9" applyNumberFormat="1" applyFont="1" applyFill="1" applyBorder="1" applyAlignment="1" applyProtection="1">
      <alignment vertical="center"/>
      <protection locked="0"/>
    </xf>
    <xf numFmtId="9" fontId="24" fillId="0" borderId="7" xfId="9" applyNumberFormat="1" applyFont="1" applyFill="1" applyBorder="1" applyAlignment="1">
      <alignment vertical="center"/>
    </xf>
    <xf numFmtId="0" fontId="115" fillId="0" borderId="0" xfId="0" applyFont="1" applyAlignment="1">
      <alignment vertical="center"/>
    </xf>
    <xf numFmtId="0" fontId="116" fillId="0" borderId="0" xfId="0" applyFont="1" applyAlignment="1">
      <alignment vertical="center"/>
    </xf>
    <xf numFmtId="0" fontId="117" fillId="0" borderId="0" xfId="0" applyFont="1" applyAlignment="1">
      <alignment vertical="center"/>
    </xf>
    <xf numFmtId="0" fontId="24" fillId="0" borderId="0" xfId="148" applyFont="1" applyBorder="1" applyAlignment="1">
      <alignment vertical="top"/>
    </xf>
    <xf numFmtId="0" fontId="24" fillId="0" borderId="0" xfId="148" applyFont="1" applyBorder="1" applyAlignment="1">
      <alignment horizontal="center" vertical="center"/>
    </xf>
    <xf numFmtId="0" fontId="24" fillId="0" borderId="0" xfId="148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83" fillId="0" borderId="0" xfId="148" applyFont="1" applyFill="1" applyBorder="1" applyAlignment="1">
      <alignment vertical="center" wrapText="1"/>
    </xf>
    <xf numFmtId="0" fontId="83" fillId="15" borderId="0" xfId="148" applyFont="1" applyFill="1" applyBorder="1" applyAlignment="1">
      <alignment vertical="center" wrapText="1"/>
    </xf>
    <xf numFmtId="0" fontId="24" fillId="15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>
      <alignment vertical="center"/>
    </xf>
    <xf numFmtId="0" fontId="24" fillId="0" borderId="0" xfId="148" applyFont="1" applyFill="1" applyBorder="1" applyAlignment="1">
      <alignment horizontal="left" vertical="center" wrapText="1"/>
    </xf>
    <xf numFmtId="174" fontId="24" fillId="0" borderId="0" xfId="0" applyNumberFormat="1" applyFont="1" applyBorder="1" applyAlignment="1" applyProtection="1">
      <alignment horizontal="center" vertical="center"/>
      <protection locked="0"/>
    </xf>
    <xf numFmtId="9" fontId="24" fillId="0" borderId="0" xfId="0" applyNumberFormat="1" applyFont="1" applyBorder="1" applyAlignment="1" applyProtection="1">
      <alignment horizontal="center" vertical="center"/>
      <protection locked="0"/>
    </xf>
    <xf numFmtId="0" fontId="119" fillId="0" borderId="0" xfId="148" applyFont="1" applyFill="1" applyBorder="1" applyAlignment="1">
      <alignment horizontal="left" vertical="center" wrapText="1"/>
    </xf>
    <xf numFmtId="174" fontId="119" fillId="0" borderId="0" xfId="0" applyNumberFormat="1" applyFont="1" applyFill="1" applyBorder="1" applyAlignment="1" applyProtection="1">
      <alignment horizontal="center" vertical="center"/>
      <protection locked="0"/>
    </xf>
    <xf numFmtId="171" fontId="119" fillId="0" borderId="0" xfId="148" applyNumberFormat="1" applyFont="1" applyFill="1" applyBorder="1" applyAlignment="1">
      <alignment horizontal="center" vertical="center"/>
    </xf>
    <xf numFmtId="172" fontId="119" fillId="0" borderId="0" xfId="148" applyNumberFormat="1" applyFont="1" applyFill="1" applyBorder="1" applyAlignment="1">
      <alignment horizontal="center" vertical="center"/>
    </xf>
    <xf numFmtId="9" fontId="119" fillId="0" borderId="0" xfId="146" applyFont="1" applyFill="1" applyBorder="1" applyAlignment="1">
      <alignment horizontal="center" vertical="center"/>
    </xf>
    <xf numFmtId="9" fontId="24" fillId="0" borderId="0" xfId="146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 readingOrder="1"/>
    </xf>
    <xf numFmtId="9" fontId="65" fillId="0" borderId="0" xfId="148" applyNumberFormat="1" applyFont="1" applyBorder="1" applyAlignment="1">
      <alignment horizontal="center" vertical="center"/>
    </xf>
    <xf numFmtId="0" fontId="121" fillId="0" borderId="0" xfId="0" applyFont="1" applyBorder="1" applyAlignment="1">
      <alignment vertical="center"/>
    </xf>
    <xf numFmtId="0" fontId="116" fillId="0" borderId="0" xfId="0" applyFont="1" applyAlignment="1"/>
    <xf numFmtId="0" fontId="116" fillId="22" borderId="0" xfId="0" applyFont="1" applyFill="1" applyAlignment="1">
      <alignment vertical="center"/>
    </xf>
    <xf numFmtId="3" fontId="13" fillId="6" borderId="0" xfId="141" applyNumberFormat="1" applyFont="1" applyFill="1" applyAlignment="1" applyProtection="1">
      <alignment horizontal="center" vertical="center"/>
      <protection locked="0"/>
    </xf>
    <xf numFmtId="3" fontId="13" fillId="0" borderId="0" xfId="141" applyNumberFormat="1" applyFont="1" applyAlignment="1">
      <alignment horizontal="center" vertical="center"/>
    </xf>
    <xf numFmtId="0" fontId="16" fillId="0" borderId="0" xfId="141" applyFont="1" applyAlignment="1">
      <alignment horizontal="center" vertical="center"/>
    </xf>
    <xf numFmtId="0" fontId="12" fillId="0" borderId="0" xfId="141" applyFont="1" applyAlignment="1">
      <alignment vertical="center"/>
    </xf>
    <xf numFmtId="3" fontId="12" fillId="3" borderId="0" xfId="141" applyNumberFormat="1" applyFont="1" applyFill="1" applyAlignment="1">
      <alignment horizontal="center" vertical="center"/>
    </xf>
    <xf numFmtId="3" fontId="102" fillId="0" borderId="8" xfId="9" applyNumberFormat="1" applyFont="1" applyBorder="1" applyAlignment="1">
      <alignment horizontal="left" vertical="center" wrapText="1"/>
    </xf>
    <xf numFmtId="3" fontId="102" fillId="0" borderId="8" xfId="9" applyNumberFormat="1" applyFont="1" applyBorder="1" applyAlignment="1">
      <alignment horizontal="left" vertical="center"/>
    </xf>
    <xf numFmtId="167" fontId="13" fillId="3" borderId="0" xfId="141" applyNumberFormat="1" applyFont="1" applyFill="1" applyAlignment="1">
      <alignment vertical="center"/>
    </xf>
    <xf numFmtId="0" fontId="12" fillId="0" borderId="0" xfId="141" applyFont="1" applyAlignment="1">
      <alignment horizontal="right" vertical="center"/>
    </xf>
    <xf numFmtId="0" fontId="12" fillId="0" borderId="0" xfId="141" applyFont="1" applyAlignment="1">
      <alignment horizontal="left" vertical="center"/>
    </xf>
    <xf numFmtId="0" fontId="12" fillId="0" borderId="0" xfId="141" applyFont="1" applyAlignment="1">
      <alignment horizontal="center" vertical="center"/>
    </xf>
    <xf numFmtId="0" fontId="12" fillId="16" borderId="0" xfId="141" applyFont="1" applyFill="1" applyAlignment="1">
      <alignment horizontal="center" vertical="center"/>
    </xf>
    <xf numFmtId="3" fontId="95" fillId="16" borderId="0" xfId="141" applyNumberFormat="1" applyFont="1" applyFill="1" applyAlignment="1">
      <alignment horizontal="right" vertical="center"/>
    </xf>
    <xf numFmtId="3" fontId="93" fillId="0" borderId="0" xfId="141" applyNumberFormat="1" applyFont="1" applyAlignment="1">
      <alignment vertical="center"/>
    </xf>
    <xf numFmtId="0" fontId="98" fillId="16" borderId="0" xfId="141" applyFont="1" applyFill="1" applyAlignment="1">
      <alignment horizontal="left" vertical="center" indent="1"/>
    </xf>
    <xf numFmtId="3" fontId="97" fillId="16" borderId="0" xfId="141" applyNumberFormat="1" applyFont="1" applyFill="1" applyAlignment="1">
      <alignment horizontal="right" vertical="center"/>
    </xf>
    <xf numFmtId="0" fontId="97" fillId="0" borderId="0" xfId="141" applyFont="1" applyAlignment="1">
      <alignment horizontal="center" vertical="center"/>
    </xf>
    <xf numFmtId="167" fontId="12" fillId="16" borderId="0" xfId="141" applyNumberFormat="1" applyFont="1" applyFill="1" applyAlignment="1">
      <alignment horizontal="right" vertical="center"/>
    </xf>
    <xf numFmtId="0" fontId="12" fillId="16" borderId="0" xfId="141" applyFont="1" applyFill="1" applyAlignment="1">
      <alignment horizontal="right" vertical="center"/>
    </xf>
    <xf numFmtId="168" fontId="96" fillId="3" borderId="0" xfId="141" applyNumberFormat="1" applyFont="1" applyFill="1" applyAlignment="1">
      <alignment horizontal="right" vertical="center"/>
    </xf>
    <xf numFmtId="0" fontId="96" fillId="0" borderId="0" xfId="141" applyFont="1" applyAlignment="1">
      <alignment horizontal="right" vertical="center"/>
    </xf>
    <xf numFmtId="167" fontId="96" fillId="3" borderId="0" xfId="141" applyNumberFormat="1" applyFont="1" applyFill="1" applyAlignment="1">
      <alignment horizontal="right" vertical="center"/>
    </xf>
    <xf numFmtId="168" fontId="19" fillId="3" borderId="0" xfId="141" applyNumberFormat="1" applyFont="1" applyFill="1" applyAlignment="1">
      <alignment horizontal="right" vertical="center"/>
    </xf>
    <xf numFmtId="0" fontId="13" fillId="0" borderId="0" xfId="141" applyFont="1" applyAlignment="1">
      <alignment horizontal="right" vertical="center"/>
    </xf>
    <xf numFmtId="168" fontId="13" fillId="0" borderId="0" xfId="141" applyNumberFormat="1" applyFont="1" applyAlignment="1">
      <alignment horizontal="right" vertical="center"/>
    </xf>
    <xf numFmtId="167" fontId="13" fillId="0" borderId="0" xfId="141" applyNumberFormat="1" applyFont="1" applyAlignment="1">
      <alignment horizontal="right" vertical="center"/>
    </xf>
    <xf numFmtId="168" fontId="12" fillId="0" borderId="0" xfId="141" applyNumberFormat="1" applyFont="1" applyAlignment="1">
      <alignment horizontal="right" vertical="center"/>
    </xf>
    <xf numFmtId="167" fontId="12" fillId="0" borderId="0" xfId="141" applyNumberFormat="1" applyFont="1" applyAlignment="1">
      <alignment horizontal="right" vertical="center"/>
    </xf>
    <xf numFmtId="168" fontId="13" fillId="0" borderId="0" xfId="141" applyNumberFormat="1" applyFont="1" applyAlignment="1">
      <alignment horizontal="right" vertical="top"/>
    </xf>
    <xf numFmtId="0" fontId="13" fillId="0" borderId="0" xfId="141" applyFont="1" applyAlignment="1">
      <alignment horizontal="right" vertical="top"/>
    </xf>
    <xf numFmtId="167" fontId="13" fillId="0" borderId="0" xfId="141" applyNumberFormat="1" applyFont="1" applyAlignment="1">
      <alignment horizontal="right" vertical="top"/>
    </xf>
    <xf numFmtId="167" fontId="12" fillId="3" borderId="0" xfId="141" applyNumberFormat="1" applyFont="1" applyFill="1" applyAlignment="1">
      <alignment vertical="center"/>
    </xf>
    <xf numFmtId="3" fontId="12" fillId="16" borderId="0" xfId="141" applyNumberFormat="1" applyFont="1" applyFill="1" applyAlignment="1">
      <alignment horizontal="center" vertical="center"/>
    </xf>
    <xf numFmtId="168" fontId="12" fillId="16" borderId="0" xfId="141" applyNumberFormat="1" applyFont="1" applyFill="1" applyAlignment="1">
      <alignment horizontal="right" vertical="center"/>
    </xf>
    <xf numFmtId="9" fontId="8" fillId="16" borderId="0" xfId="1" applyFill="1" applyBorder="1"/>
    <xf numFmtId="167" fontId="12" fillId="16" borderId="0" xfId="141" applyNumberFormat="1" applyFont="1" applyFill="1" applyAlignment="1">
      <alignment vertical="center"/>
    </xf>
    <xf numFmtId="169" fontId="13" fillId="3" borderId="0" xfId="141" applyNumberFormat="1" applyFont="1" applyFill="1" applyAlignment="1">
      <alignment horizontal="center" vertical="center"/>
    </xf>
    <xf numFmtId="3" fontId="13" fillId="3" borderId="0" xfId="141" applyNumberFormat="1" applyFont="1" applyFill="1" applyAlignment="1">
      <alignment horizontal="center" vertical="center"/>
    </xf>
    <xf numFmtId="170" fontId="13" fillId="3" borderId="0" xfId="141" applyNumberFormat="1" applyFont="1" applyFill="1" applyAlignment="1">
      <alignment vertical="center"/>
    </xf>
    <xf numFmtId="170" fontId="12" fillId="3" borderId="0" xfId="141" applyNumberFormat="1" applyFont="1" applyFill="1" applyAlignment="1">
      <alignment vertical="center"/>
    </xf>
    <xf numFmtId="170" fontId="13" fillId="24" borderId="0" xfId="141" applyNumberFormat="1" applyFont="1" applyFill="1" applyAlignment="1">
      <alignment vertical="center"/>
    </xf>
    <xf numFmtId="197" fontId="12" fillId="3" borderId="0" xfId="141" applyNumberFormat="1" applyFont="1" applyFill="1" applyAlignment="1">
      <alignment vertical="center"/>
    </xf>
    <xf numFmtId="3" fontId="89" fillId="0" borderId="8" xfId="9" applyNumberFormat="1" applyFont="1" applyBorder="1" applyAlignment="1">
      <alignment horizontal="left" vertical="center" wrapText="1"/>
    </xf>
    <xf numFmtId="166" fontId="13" fillId="3" borderId="0" xfId="141" applyNumberFormat="1" applyFont="1" applyFill="1" applyAlignment="1">
      <alignment vertical="center"/>
    </xf>
    <xf numFmtId="164" fontId="12" fillId="0" borderId="0" xfId="140" applyFont="1" applyFill="1" applyBorder="1" applyAlignment="1" applyProtection="1">
      <alignment vertical="center"/>
      <protection locked="0"/>
    </xf>
    <xf numFmtId="0" fontId="123" fillId="0" borderId="0" xfId="141" applyFont="1" applyAlignment="1">
      <alignment horizontal="center" vertical="center"/>
    </xf>
    <xf numFmtId="164" fontId="124" fillId="0" borderId="0" xfId="140" applyFont="1" applyBorder="1" applyAlignment="1">
      <alignment horizontal="left" vertical="center"/>
    </xf>
    <xf numFmtId="0" fontId="124" fillId="0" borderId="0" xfId="141" applyFont="1" applyAlignment="1">
      <alignment horizontal="center" vertical="center"/>
    </xf>
    <xf numFmtId="3" fontId="102" fillId="0" borderId="7" xfId="9" applyNumberFormat="1" applyFont="1" applyBorder="1" applyAlignment="1">
      <alignment horizontal="left" vertical="center" wrapText="1"/>
    </xf>
    <xf numFmtId="0" fontId="61" fillId="0" borderId="0" xfId="153" applyFont="1" applyAlignment="1" applyProtection="1">
      <alignment horizontal="left" vertical="center" wrapText="1"/>
      <protection locked="0"/>
    </xf>
    <xf numFmtId="3" fontId="13" fillId="6" borderId="0" xfId="153" applyNumberFormat="1" applyFont="1" applyFill="1" applyAlignment="1" applyProtection="1">
      <alignment horizontal="center" vertical="center"/>
      <protection locked="0"/>
    </xf>
    <xf numFmtId="9" fontId="91" fillId="6" borderId="0" xfId="150" applyFont="1" applyFill="1" applyBorder="1" applyAlignment="1" applyProtection="1">
      <alignment horizontal="right" vertical="center"/>
      <protection locked="0"/>
    </xf>
    <xf numFmtId="3" fontId="24" fillId="0" borderId="10" xfId="0" applyNumberFormat="1" applyFont="1" applyFill="1" applyBorder="1" applyAlignment="1">
      <alignment vertical="center"/>
    </xf>
    <xf numFmtId="9" fontId="24" fillId="0" borderId="10" xfId="1" applyFont="1" applyFill="1" applyBorder="1" applyAlignment="1">
      <alignment horizontal="right" vertical="center"/>
    </xf>
    <xf numFmtId="9" fontId="24" fillId="0" borderId="16" xfId="1" applyFont="1" applyFill="1" applyBorder="1" applyAlignment="1">
      <alignment horizontal="center"/>
    </xf>
    <xf numFmtId="3" fontId="83" fillId="0" borderId="10" xfId="0" applyNumberFormat="1" applyFont="1" applyFill="1" applyBorder="1" applyAlignment="1">
      <alignment vertical="center"/>
    </xf>
    <xf numFmtId="3" fontId="102" fillId="6" borderId="8" xfId="9" applyNumberFormat="1" applyFont="1" applyFill="1" applyBorder="1" applyAlignment="1">
      <alignment horizontal="center" vertical="center"/>
    </xf>
    <xf numFmtId="3" fontId="24" fillId="0" borderId="0" xfId="2" applyNumberFormat="1" applyFont="1" applyFill="1" applyAlignment="1" applyProtection="1">
      <alignment horizontal="center" vertical="center"/>
      <protection locked="0"/>
    </xf>
    <xf numFmtId="169" fontId="102" fillId="6" borderId="8" xfId="9" applyNumberFormat="1" applyFont="1" applyFill="1" applyBorder="1" applyAlignment="1">
      <alignment horizontal="center" vertical="center"/>
    </xf>
    <xf numFmtId="9" fontId="24" fillId="25" borderId="8" xfId="9" applyNumberFormat="1" applyFont="1" applyFill="1" applyBorder="1" applyAlignment="1">
      <alignment horizontal="center" vertical="center"/>
    </xf>
    <xf numFmtId="3" fontId="89" fillId="0" borderId="8" xfId="9" applyNumberFormat="1" applyFont="1" applyFill="1" applyBorder="1" applyAlignment="1">
      <alignment horizontal="left" vertical="center" wrapText="1"/>
    </xf>
    <xf numFmtId="3" fontId="102" fillId="20" borderId="8" xfId="9" applyNumberFormat="1" applyFont="1" applyFill="1" applyBorder="1" applyAlignment="1">
      <alignment horizontal="center" vertical="center"/>
    </xf>
    <xf numFmtId="0" fontId="116" fillId="0" borderId="0" xfId="0" applyFont="1" applyAlignment="1">
      <alignment vertical="center" wrapText="1"/>
    </xf>
    <xf numFmtId="165" fontId="24" fillId="23" borderId="8" xfId="9" applyNumberFormat="1" applyFont="1" applyFill="1" applyBorder="1" applyAlignment="1" applyProtection="1">
      <alignment vertical="center"/>
      <protection locked="0"/>
    </xf>
    <xf numFmtId="3" fontId="24" fillId="0" borderId="14" xfId="5" applyNumberFormat="1" applyFont="1" applyFill="1" applyBorder="1" applyAlignment="1">
      <alignment horizontal="center" vertical="center"/>
    </xf>
    <xf numFmtId="3" fontId="24" fillId="0" borderId="14" xfId="140" applyNumberFormat="1" applyFont="1" applyFill="1" applyBorder="1" applyAlignment="1">
      <alignment horizontal="center" vertical="center"/>
    </xf>
    <xf numFmtId="197" fontId="8" fillId="0" borderId="0" xfId="1" applyNumberFormat="1" applyBorder="1" applyProtection="1">
      <protection locked="0"/>
    </xf>
    <xf numFmtId="0" fontId="126" fillId="0" borderId="0" xfId="81" applyFont="1" applyBorder="1" applyAlignment="1" applyProtection="1">
      <alignment horizontal="left" vertical="center"/>
      <protection locked="0"/>
    </xf>
    <xf numFmtId="9" fontId="66" fillId="0" borderId="0" xfId="81" applyNumberFormat="1" applyFont="1" applyBorder="1" applyAlignment="1" applyProtection="1">
      <alignment horizontal="center" vertical="center" wrapText="1"/>
      <protection locked="0"/>
    </xf>
    <xf numFmtId="167" fontId="61" fillId="0" borderId="0" xfId="81" applyNumberFormat="1" applyFont="1" applyBorder="1" applyAlignment="1" applyProtection="1">
      <alignment horizontal="left" vertical="center"/>
      <protection locked="0"/>
    </xf>
    <xf numFmtId="3" fontId="66" fillId="6" borderId="0" xfId="81" applyNumberFormat="1" applyFont="1" applyFill="1" applyAlignment="1" applyProtection="1">
      <alignment horizontal="center" vertical="center"/>
      <protection locked="0"/>
    </xf>
    <xf numFmtId="3" fontId="65" fillId="0" borderId="0" xfId="9" applyNumberFormat="1" applyFont="1" applyFill="1" applyBorder="1" applyAlignment="1">
      <alignment vertical="center"/>
    </xf>
    <xf numFmtId="3" fontId="65" fillId="0" borderId="8" xfId="9" applyNumberFormat="1" applyFont="1" applyBorder="1" applyAlignment="1">
      <alignment horizontal="left" vertical="center" wrapText="1"/>
    </xf>
    <xf numFmtId="3" fontId="65" fillId="0" borderId="7" xfId="9" applyNumberFormat="1" applyFont="1" applyFill="1" applyBorder="1" applyAlignment="1">
      <alignment horizontal="left" vertical="center" wrapText="1"/>
    </xf>
    <xf numFmtId="3" fontId="65" fillId="6" borderId="8" xfId="9" applyNumberFormat="1" applyFont="1" applyFill="1" applyBorder="1" applyAlignment="1">
      <alignment horizontal="center" vertical="center"/>
    </xf>
    <xf numFmtId="9" fontId="65" fillId="6" borderId="8" xfId="9" applyNumberFormat="1" applyFont="1" applyFill="1" applyBorder="1" applyAlignment="1">
      <alignment horizontal="center" vertical="center"/>
    </xf>
    <xf numFmtId="3" fontId="65" fillId="0" borderId="7" xfId="9" applyNumberFormat="1" applyFont="1" applyFill="1" applyBorder="1" applyAlignment="1" applyProtection="1">
      <alignment vertical="center"/>
      <protection locked="0"/>
    </xf>
    <xf numFmtId="165" fontId="65" fillId="0" borderId="7" xfId="9" applyNumberFormat="1" applyFont="1" applyFill="1" applyBorder="1" applyAlignment="1" applyProtection="1">
      <alignment vertical="center"/>
      <protection locked="0"/>
    </xf>
    <xf numFmtId="3" fontId="65" fillId="0" borderId="8" xfId="9" applyNumberFormat="1" applyFont="1" applyBorder="1" applyAlignment="1">
      <alignment horizontal="left" vertical="center"/>
    </xf>
    <xf numFmtId="3" fontId="65" fillId="0" borderId="8" xfId="9" applyNumberFormat="1" applyFont="1" applyFill="1" applyBorder="1" applyAlignment="1">
      <alignment horizontal="left" vertical="center"/>
    </xf>
    <xf numFmtId="197" fontId="65" fillId="6" borderId="7" xfId="1" applyNumberFormat="1" applyFont="1" applyFill="1" applyBorder="1" applyAlignment="1" applyProtection="1">
      <alignment horizontal="center" vertical="center"/>
    </xf>
    <xf numFmtId="165" fontId="65" fillId="6" borderId="7" xfId="9" applyNumberFormat="1" applyFont="1" applyFill="1" applyBorder="1" applyAlignment="1">
      <alignment vertical="center"/>
    </xf>
    <xf numFmtId="9" fontId="65" fillId="6" borderId="7" xfId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 wrapText="1"/>
    </xf>
    <xf numFmtId="0" fontId="20" fillId="17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98" fillId="22" borderId="34" xfId="0" applyFont="1" applyFill="1" applyBorder="1" applyAlignment="1">
      <alignment horizontal="center" vertical="center" wrapText="1"/>
    </xf>
    <xf numFmtId="0" fontId="128" fillId="22" borderId="35" xfId="0" applyFont="1" applyFill="1" applyBorder="1" applyAlignment="1">
      <alignment horizontal="center" vertical="center" wrapText="1"/>
    </xf>
    <xf numFmtId="0" fontId="128" fillId="22" borderId="36" xfId="0" applyFont="1" applyFill="1" applyBorder="1" applyAlignment="1">
      <alignment horizontal="center" vertical="center" wrapText="1"/>
    </xf>
    <xf numFmtId="0" fontId="128" fillId="22" borderId="37" xfId="0" applyFont="1" applyFill="1" applyBorder="1" applyAlignment="1">
      <alignment horizontal="center" vertical="center" wrapText="1"/>
    </xf>
    <xf numFmtId="0" fontId="128" fillId="22" borderId="38" xfId="0" applyFont="1" applyFill="1" applyBorder="1" applyAlignment="1">
      <alignment horizontal="center" vertical="center" wrapText="1"/>
    </xf>
    <xf numFmtId="0" fontId="128" fillId="22" borderId="39" xfId="0" applyFont="1" applyFill="1" applyBorder="1" applyAlignment="1">
      <alignment horizontal="center" vertical="center" wrapText="1"/>
    </xf>
    <xf numFmtId="174" fontId="20" fillId="3" borderId="41" xfId="0" applyNumberFormat="1" applyFont="1" applyFill="1" applyBorder="1" applyAlignment="1">
      <alignment vertical="center" wrapText="1"/>
    </xf>
    <xf numFmtId="174" fontId="129" fillId="3" borderId="42" xfId="0" applyNumberFormat="1" applyFont="1" applyFill="1" applyBorder="1" applyAlignment="1">
      <alignment horizontal="left" vertical="center" wrapText="1" indent="2"/>
    </xf>
    <xf numFmtId="174" fontId="129" fillId="3" borderId="43" xfId="0" applyNumberFormat="1" applyFont="1" applyFill="1" applyBorder="1" applyAlignment="1">
      <alignment horizontal="center" vertical="center"/>
    </xf>
    <xf numFmtId="174" fontId="129" fillId="3" borderId="45" xfId="0" applyNumberFormat="1" applyFont="1" applyFill="1" applyBorder="1" applyAlignment="1">
      <alignment horizontal="center" vertical="center"/>
    </xf>
    <xf numFmtId="174" fontId="129" fillId="3" borderId="46" xfId="0" applyNumberFormat="1" applyFont="1" applyFill="1" applyBorder="1" applyAlignment="1">
      <alignment horizontal="center" vertical="center"/>
    </xf>
    <xf numFmtId="174" fontId="20" fillId="0" borderId="0" xfId="0" applyNumberFormat="1" applyFont="1" applyAlignment="1">
      <alignment vertical="center"/>
    </xf>
    <xf numFmtId="174" fontId="21" fillId="17" borderId="41" xfId="0" applyNumberFormat="1" applyFont="1" applyFill="1" applyBorder="1" applyAlignment="1">
      <alignment vertical="center" wrapText="1"/>
    </xf>
    <xf numFmtId="174" fontId="130" fillId="17" borderId="42" xfId="0" applyNumberFormat="1" applyFont="1" applyFill="1" applyBorder="1" applyAlignment="1">
      <alignment horizontal="left" vertical="center" wrapText="1" indent="2"/>
    </xf>
    <xf numFmtId="174" fontId="129" fillId="17" borderId="43" xfId="0" applyNumberFormat="1" applyFont="1" applyFill="1" applyBorder="1" applyAlignment="1">
      <alignment horizontal="center" vertical="center"/>
    </xf>
    <xf numFmtId="174" fontId="129" fillId="17" borderId="45" xfId="0" applyNumberFormat="1" applyFont="1" applyFill="1" applyBorder="1" applyAlignment="1">
      <alignment horizontal="center" vertical="center"/>
    </xf>
    <xf numFmtId="174" fontId="129" fillId="17" borderId="46" xfId="0" applyNumberFormat="1" applyFont="1" applyFill="1" applyBorder="1" applyAlignment="1">
      <alignment horizontal="center" vertical="center"/>
    </xf>
    <xf numFmtId="174" fontId="21" fillId="0" borderId="0" xfId="0" applyNumberFormat="1" applyFont="1" applyAlignment="1">
      <alignment vertical="center"/>
    </xf>
    <xf numFmtId="0" fontId="21" fillId="3" borderId="41" xfId="0" applyFont="1" applyFill="1" applyBorder="1" applyAlignment="1">
      <alignment vertical="center" wrapText="1"/>
    </xf>
    <xf numFmtId="0" fontId="129" fillId="3" borderId="42" xfId="0" applyFont="1" applyFill="1" applyBorder="1" applyAlignment="1">
      <alignment horizontal="left" vertical="center" wrapText="1" indent="2"/>
    </xf>
    <xf numFmtId="197" fontId="130" fillId="3" borderId="43" xfId="0" applyNumberFormat="1" applyFont="1" applyFill="1" applyBorder="1" applyAlignment="1">
      <alignment horizontal="center" vertical="center"/>
    </xf>
    <xf numFmtId="197" fontId="130" fillId="3" borderId="45" xfId="0" applyNumberFormat="1" applyFont="1" applyFill="1" applyBorder="1" applyAlignment="1">
      <alignment horizontal="center" vertical="center"/>
    </xf>
    <xf numFmtId="197" fontId="130" fillId="3" borderId="46" xfId="0" applyNumberFormat="1" applyFont="1" applyFill="1" applyBorder="1" applyAlignment="1">
      <alignment horizontal="center" vertical="center"/>
    </xf>
    <xf numFmtId="174" fontId="131" fillId="17" borderId="41" xfId="0" applyNumberFormat="1" applyFont="1" applyFill="1" applyBorder="1" applyAlignment="1">
      <alignment vertical="center" wrapText="1"/>
    </xf>
    <xf numFmtId="174" fontId="132" fillId="17" borderId="42" xfId="0" applyNumberFormat="1" applyFont="1" applyFill="1" applyBorder="1" applyAlignment="1">
      <alignment horizontal="left" vertical="center" wrapText="1" indent="2"/>
    </xf>
    <xf numFmtId="174" fontId="133" fillId="17" borderId="43" xfId="0" applyNumberFormat="1" applyFont="1" applyFill="1" applyBorder="1" applyAlignment="1">
      <alignment horizontal="center" vertical="center"/>
    </xf>
    <xf numFmtId="174" fontId="133" fillId="17" borderId="44" xfId="0" applyNumberFormat="1" applyFont="1" applyFill="1" applyBorder="1" applyAlignment="1">
      <alignment horizontal="center" vertical="center"/>
    </xf>
    <xf numFmtId="174" fontId="133" fillId="17" borderId="46" xfId="0" applyNumberFormat="1" applyFont="1" applyFill="1" applyBorder="1" applyAlignment="1">
      <alignment horizontal="center" vertical="center"/>
    </xf>
    <xf numFmtId="174" fontId="131" fillId="0" borderId="0" xfId="0" applyNumberFormat="1" applyFont="1" applyAlignment="1">
      <alignment vertical="center"/>
    </xf>
    <xf numFmtId="0" fontId="131" fillId="3" borderId="41" xfId="0" applyFont="1" applyFill="1" applyBorder="1" applyAlignment="1">
      <alignment vertical="center" wrapText="1"/>
    </xf>
    <xf numFmtId="0" fontId="133" fillId="3" borderId="42" xfId="0" applyFont="1" applyFill="1" applyBorder="1" applyAlignment="1">
      <alignment horizontal="left" vertical="center" wrapText="1" indent="2"/>
    </xf>
    <xf numFmtId="197" fontId="132" fillId="3" borderId="43" xfId="0" applyNumberFormat="1" applyFont="1" applyFill="1" applyBorder="1" applyAlignment="1">
      <alignment horizontal="center" vertical="center"/>
    </xf>
    <xf numFmtId="197" fontId="132" fillId="3" borderId="44" xfId="0" applyNumberFormat="1" applyFont="1" applyFill="1" applyBorder="1" applyAlignment="1">
      <alignment horizontal="center" vertical="center"/>
    </xf>
    <xf numFmtId="197" fontId="132" fillId="3" borderId="46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vertical="center"/>
    </xf>
    <xf numFmtId="174" fontId="20" fillId="17" borderId="41" xfId="0" applyNumberFormat="1" applyFont="1" applyFill="1" applyBorder="1" applyAlignment="1">
      <alignment vertical="center" wrapText="1"/>
    </xf>
    <xf numFmtId="0" fontId="21" fillId="3" borderId="47" xfId="0" applyFont="1" applyFill="1" applyBorder="1" applyAlignment="1">
      <alignment vertical="center" wrapText="1"/>
    </xf>
    <xf numFmtId="0" fontId="128" fillId="22" borderId="40" xfId="0" applyFont="1" applyFill="1" applyBorder="1" applyAlignment="1">
      <alignment horizontal="center" vertical="center" wrapText="1"/>
    </xf>
    <xf numFmtId="174" fontId="21" fillId="0" borderId="0" xfId="0" applyNumberFormat="1" applyFont="1" applyAlignment="1">
      <alignment horizontal="center" vertical="center"/>
    </xf>
    <xf numFmtId="3" fontId="102" fillId="0" borderId="0" xfId="0" applyNumberFormat="1" applyFont="1"/>
    <xf numFmtId="3" fontId="133" fillId="0" borderId="0" xfId="9" applyNumberFormat="1" applyFont="1" applyFill="1" applyBorder="1" applyAlignment="1">
      <alignment vertical="center"/>
    </xf>
    <xf numFmtId="3" fontId="134" fillId="0" borderId="8" xfId="9" applyNumberFormat="1" applyFont="1" applyBorder="1" applyAlignment="1">
      <alignment horizontal="left" vertical="center" wrapText="1"/>
    </xf>
    <xf numFmtId="3" fontId="134" fillId="0" borderId="8" xfId="9" applyNumberFormat="1" applyFont="1" applyFill="1" applyBorder="1" applyAlignment="1">
      <alignment horizontal="left" vertical="center"/>
    </xf>
    <xf numFmtId="0" fontId="133" fillId="0" borderId="0" xfId="0" applyFont="1" applyAlignment="1">
      <alignment horizontal="center" vertical="center"/>
    </xf>
    <xf numFmtId="200" fontId="20" fillId="0" borderId="0" xfId="0" applyNumberFormat="1" applyFont="1" applyAlignment="1">
      <alignment horizontal="center" vertical="center"/>
    </xf>
    <xf numFmtId="0" fontId="98" fillId="22" borderId="0" xfId="0" applyFont="1" applyFill="1" applyBorder="1" applyAlignment="1">
      <alignment horizontal="center" vertical="center" wrapText="1"/>
    </xf>
    <xf numFmtId="0" fontId="128" fillId="22" borderId="0" xfId="0" applyFont="1" applyFill="1" applyBorder="1" applyAlignment="1">
      <alignment horizontal="center" vertical="center" wrapText="1"/>
    </xf>
    <xf numFmtId="0" fontId="137" fillId="22" borderId="0" xfId="0" applyFont="1" applyFill="1" applyBorder="1" applyAlignment="1">
      <alignment horizontal="center" vertical="center" wrapText="1"/>
    </xf>
    <xf numFmtId="201" fontId="83" fillId="0" borderId="7" xfId="9" applyNumberFormat="1" applyFont="1" applyFill="1" applyBorder="1" applyAlignment="1" applyProtection="1">
      <alignment vertical="center"/>
      <protection locked="0"/>
    </xf>
    <xf numFmtId="3" fontId="134" fillId="0" borderId="49" xfId="9" applyNumberFormat="1" applyFont="1" applyBorder="1" applyAlignment="1">
      <alignment horizontal="left" vertical="center" wrapText="1"/>
    </xf>
    <xf numFmtId="0" fontId="133" fillId="0" borderId="0" xfId="0" applyFont="1" applyBorder="1" applyAlignment="1">
      <alignment horizontal="center" vertical="center"/>
    </xf>
    <xf numFmtId="3" fontId="133" fillId="0" borderId="2" xfId="9" applyNumberFormat="1" applyFont="1" applyFill="1" applyBorder="1" applyAlignment="1">
      <alignment vertical="center"/>
    </xf>
    <xf numFmtId="3" fontId="134" fillId="0" borderId="50" xfId="9" applyNumberFormat="1" applyFont="1" applyBorder="1" applyAlignment="1">
      <alignment horizontal="left" vertical="center" wrapText="1"/>
    </xf>
    <xf numFmtId="0" fontId="133" fillId="0" borderId="2" xfId="0" applyFont="1" applyBorder="1" applyAlignment="1">
      <alignment horizontal="center" vertical="center"/>
    </xf>
    <xf numFmtId="3" fontId="133" fillId="0" borderId="51" xfId="9" applyNumberFormat="1" applyFont="1" applyFill="1" applyBorder="1" applyAlignment="1">
      <alignment vertical="center"/>
    </xf>
    <xf numFmtId="3" fontId="134" fillId="0" borderId="52" xfId="9" applyNumberFormat="1" applyFont="1" applyBorder="1" applyAlignment="1">
      <alignment horizontal="left" vertical="center" wrapText="1"/>
    </xf>
    <xf numFmtId="0" fontId="133" fillId="0" borderId="51" xfId="0" applyFont="1" applyBorder="1" applyAlignment="1">
      <alignment horizontal="center" vertical="center"/>
    </xf>
    <xf numFmtId="3" fontId="134" fillId="0" borderId="50" xfId="9" applyNumberFormat="1" applyFont="1" applyFill="1" applyBorder="1" applyAlignment="1">
      <alignment horizontal="left" vertical="center"/>
    </xf>
    <xf numFmtId="0" fontId="133" fillId="4" borderId="2" xfId="0" applyFont="1" applyFill="1" applyBorder="1" applyAlignment="1">
      <alignment horizontal="center" vertical="center"/>
    </xf>
    <xf numFmtId="0" fontId="133" fillId="4" borderId="0" xfId="0" applyFont="1" applyFill="1" applyAlignment="1">
      <alignment horizontal="center" vertical="center"/>
    </xf>
    <xf numFmtId="0" fontId="128" fillId="22" borderId="53" xfId="0" applyFont="1" applyFill="1" applyBorder="1" applyAlignment="1">
      <alignment horizontal="center" vertical="center" wrapText="1"/>
    </xf>
    <xf numFmtId="174" fontId="133" fillId="17" borderId="54" xfId="0" applyNumberFormat="1" applyFont="1" applyFill="1" applyBorder="1" applyAlignment="1">
      <alignment horizontal="center" vertical="center"/>
    </xf>
    <xf numFmtId="197" fontId="132" fillId="3" borderId="54" xfId="0" applyNumberFormat="1" applyFont="1" applyFill="1" applyBorder="1" applyAlignment="1">
      <alignment horizontal="center" vertical="center"/>
    </xf>
    <xf numFmtId="0" fontId="128" fillId="22" borderId="55" xfId="0" applyFont="1" applyFill="1" applyBorder="1" applyAlignment="1">
      <alignment horizontal="center" vertical="center" wrapText="1"/>
    </xf>
    <xf numFmtId="197" fontId="132" fillId="3" borderId="48" xfId="0" applyNumberFormat="1" applyFont="1" applyFill="1" applyBorder="1" applyAlignment="1">
      <alignment horizontal="center" vertical="center"/>
    </xf>
    <xf numFmtId="3" fontId="102" fillId="0" borderId="0" xfId="0" applyNumberFormat="1" applyFont="1" applyFill="1"/>
    <xf numFmtId="174" fontId="138" fillId="3" borderId="45" xfId="0" applyNumberFormat="1" applyFont="1" applyFill="1" applyBorder="1" applyAlignment="1">
      <alignment horizontal="center" vertical="center"/>
    </xf>
    <xf numFmtId="174" fontId="138" fillId="17" borderId="45" xfId="0" applyNumberFormat="1" applyFont="1" applyFill="1" applyBorder="1" applyAlignment="1">
      <alignment horizontal="center" vertical="center"/>
    </xf>
    <xf numFmtId="197" fontId="128" fillId="3" borderId="45" xfId="0" applyNumberFormat="1" applyFont="1" applyFill="1" applyBorder="1" applyAlignment="1">
      <alignment horizontal="center" vertical="center"/>
    </xf>
    <xf numFmtId="174" fontId="135" fillId="17" borderId="44" xfId="0" applyNumberFormat="1" applyFont="1" applyFill="1" applyBorder="1" applyAlignment="1">
      <alignment horizontal="center" vertical="center"/>
    </xf>
    <xf numFmtId="197" fontId="136" fillId="3" borderId="44" xfId="0" applyNumberFormat="1" applyFont="1" applyFill="1" applyBorder="1" applyAlignment="1">
      <alignment horizontal="center" vertical="center"/>
    </xf>
    <xf numFmtId="200" fontId="97" fillId="0" borderId="0" xfId="0" applyNumberFormat="1" applyFont="1" applyAlignment="1">
      <alignment horizontal="center" vertical="center"/>
    </xf>
    <xf numFmtId="174" fontId="98" fillId="0" borderId="0" xfId="0" applyNumberFormat="1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20" fillId="3" borderId="41" xfId="0" applyFont="1" applyFill="1" applyBorder="1" applyAlignment="1">
      <alignment vertical="center" wrapText="1"/>
    </xf>
    <xf numFmtId="0" fontId="139" fillId="3" borderId="42" xfId="0" applyFont="1" applyFill="1" applyBorder="1" applyAlignment="1">
      <alignment horizontal="left" vertical="center" wrapText="1" indent="2"/>
    </xf>
    <xf numFmtId="3" fontId="139" fillId="3" borderId="46" xfId="0" applyNumberFormat="1" applyFont="1" applyFill="1" applyBorder="1" applyAlignment="1">
      <alignment horizontal="center" vertical="center"/>
    </xf>
    <xf numFmtId="3" fontId="139" fillId="3" borderId="44" xfId="0" applyNumberFormat="1" applyFont="1" applyFill="1" applyBorder="1" applyAlignment="1">
      <alignment horizontal="center" vertical="center"/>
    </xf>
    <xf numFmtId="3" fontId="139" fillId="3" borderId="54" xfId="0" applyNumberFormat="1" applyFont="1" applyFill="1" applyBorder="1" applyAlignment="1">
      <alignment horizontal="center" vertical="center"/>
    </xf>
    <xf numFmtId="3" fontId="139" fillId="3" borderId="43" xfId="0" applyNumberFormat="1" applyFont="1" applyFill="1" applyBorder="1" applyAlignment="1">
      <alignment horizontal="center" vertical="center"/>
    </xf>
    <xf numFmtId="0" fontId="127" fillId="0" borderId="0" xfId="0" applyFont="1" applyAlignment="1">
      <alignment vertical="center" wrapText="1"/>
    </xf>
    <xf numFmtId="0" fontId="12" fillId="0" borderId="0" xfId="141" applyFont="1" applyAlignment="1" applyProtection="1">
      <alignment horizontal="left" vertical="center" wrapText="1"/>
      <protection locked="0"/>
    </xf>
    <xf numFmtId="0" fontId="12" fillId="0" borderId="0" xfId="141" applyFont="1" applyAlignment="1" applyProtection="1">
      <alignment horizontal="center" vertical="center"/>
      <protection locked="0"/>
    </xf>
    <xf numFmtId="0" fontId="12" fillId="0" borderId="0" xfId="141" applyFont="1" applyAlignment="1" applyProtection="1">
      <alignment horizontal="right" vertical="center"/>
      <protection locked="0"/>
    </xf>
    <xf numFmtId="0" fontId="13" fillId="0" borderId="0" xfId="141" applyFont="1" applyAlignment="1" applyProtection="1">
      <alignment horizontal="left" vertical="center"/>
      <protection locked="0"/>
    </xf>
    <xf numFmtId="0" fontId="12" fillId="0" borderId="0" xfId="141" applyFont="1" applyAlignment="1" applyProtection="1">
      <alignment horizontal="left" vertical="center"/>
      <protection locked="0"/>
    </xf>
    <xf numFmtId="0" fontId="12" fillId="0" borderId="0" xfId="141" applyFont="1" applyAlignment="1" applyProtection="1">
      <alignment vertical="center"/>
      <protection locked="0"/>
    </xf>
    <xf numFmtId="3" fontId="13" fillId="6" borderId="0" xfId="141" applyNumberFormat="1" applyFont="1" applyFill="1" applyAlignment="1">
      <alignment horizontal="left" vertical="center"/>
    </xf>
    <xf numFmtId="3" fontId="13" fillId="6" borderId="0" xfId="141" applyNumberFormat="1" applyFont="1" applyFill="1" applyAlignment="1">
      <alignment horizontal="center" vertical="center"/>
    </xf>
    <xf numFmtId="0" fontId="13" fillId="0" borderId="0" xfId="141" applyFont="1" applyAlignment="1">
      <alignment horizontal="left" vertical="center"/>
    </xf>
    <xf numFmtId="0" fontId="12" fillId="0" borderId="0" xfId="141" applyFont="1" applyAlignment="1">
      <alignment horizontal="left" vertical="center" wrapText="1"/>
    </xf>
    <xf numFmtId="0" fontId="12" fillId="0" borderId="0" xfId="141" applyFont="1" applyAlignment="1">
      <alignment horizontal="center" vertical="center" wrapText="1"/>
    </xf>
    <xf numFmtId="0" fontId="13" fillId="0" borderId="0" xfId="141" applyFont="1" applyAlignment="1">
      <alignment horizontal="center" vertical="center"/>
    </xf>
    <xf numFmtId="0" fontId="13" fillId="0" borderId="0" xfId="141" applyFont="1" applyAlignment="1">
      <alignment vertical="center"/>
    </xf>
    <xf numFmtId="0" fontId="13" fillId="0" borderId="0" xfId="141" applyFont="1" applyAlignment="1">
      <alignment vertical="center" wrapText="1"/>
    </xf>
    <xf numFmtId="0" fontId="12" fillId="22" borderId="0" xfId="141" applyFont="1" applyFill="1" applyAlignment="1">
      <alignment horizontal="center" vertical="center"/>
    </xf>
    <xf numFmtId="17" fontId="13" fillId="0" borderId="0" xfId="141" applyNumberFormat="1" applyFont="1" applyAlignment="1">
      <alignment horizontal="left" vertical="center"/>
    </xf>
    <xf numFmtId="3" fontId="93" fillId="16" borderId="0" xfId="141" applyNumberFormat="1" applyFont="1" applyFill="1" applyAlignment="1">
      <alignment horizontal="left" vertical="center" wrapText="1"/>
    </xf>
    <xf numFmtId="0" fontId="14" fillId="0" borderId="0" xfId="141" applyFont="1" applyAlignment="1">
      <alignment vertical="center"/>
    </xf>
    <xf numFmtId="0" fontId="15" fillId="0" borderId="0" xfId="141" applyFont="1" applyAlignment="1">
      <alignment horizontal="center" vertical="center"/>
    </xf>
    <xf numFmtId="3" fontId="97" fillId="16" borderId="0" xfId="141" applyNumberFormat="1" applyFont="1" applyFill="1" applyAlignment="1">
      <alignment horizontal="left" vertical="center" wrapText="1" indent="2"/>
    </xf>
    <xf numFmtId="0" fontId="21" fillId="0" borderId="0" xfId="141" applyFont="1" applyAlignment="1">
      <alignment horizontal="left" vertical="center" indent="1"/>
    </xf>
    <xf numFmtId="0" fontId="20" fillId="0" borderId="0" xfId="141" applyFont="1" applyAlignment="1">
      <alignment horizontal="left" vertical="center" indent="1"/>
    </xf>
    <xf numFmtId="0" fontId="98" fillId="0" borderId="0" xfId="141" applyFont="1" applyAlignment="1">
      <alignment horizontal="left" vertical="center" indent="1"/>
    </xf>
    <xf numFmtId="0" fontId="123" fillId="0" borderId="0" xfId="141" applyFont="1" applyAlignment="1">
      <alignment horizontal="left" vertical="center" wrapText="1"/>
    </xf>
    <xf numFmtId="0" fontId="123" fillId="0" borderId="0" xfId="141" applyFont="1" applyAlignment="1">
      <alignment vertical="center"/>
    </xf>
    <xf numFmtId="0" fontId="123" fillId="0" borderId="0" xfId="141" applyFont="1" applyAlignment="1">
      <alignment horizontal="left" vertical="center"/>
    </xf>
    <xf numFmtId="0" fontId="13" fillId="0" borderId="0" xfId="141" applyFont="1" applyAlignment="1">
      <alignment horizontal="left" vertical="center" wrapText="1"/>
    </xf>
    <xf numFmtId="0" fontId="15" fillId="0" borderId="0" xfId="141" applyFont="1" applyAlignment="1">
      <alignment vertical="center"/>
    </xf>
    <xf numFmtId="167" fontId="15" fillId="0" borderId="0" xfId="141" applyNumberFormat="1" applyFont="1" applyAlignment="1">
      <alignment horizontal="center" vertical="center"/>
    </xf>
    <xf numFmtId="0" fontId="16" fillId="0" borderId="0" xfId="141" applyFont="1" applyAlignment="1">
      <alignment horizontal="left" vertical="center" wrapText="1"/>
    </xf>
    <xf numFmtId="9" fontId="16" fillId="24" borderId="0" xfId="154" applyFont="1" applyFill="1" applyBorder="1" applyAlignment="1" applyProtection="1">
      <alignment horizontal="right" vertical="center"/>
      <protection locked="0"/>
    </xf>
    <xf numFmtId="9" fontId="16" fillId="21" borderId="0" xfId="154" applyFont="1" applyFill="1" applyBorder="1" applyAlignment="1" applyProtection="1">
      <alignment horizontal="right" vertical="center"/>
      <protection locked="0"/>
    </xf>
    <xf numFmtId="0" fontId="16" fillId="0" borderId="0" xfId="141" applyFont="1" applyAlignment="1">
      <alignment vertical="center"/>
    </xf>
    <xf numFmtId="0" fontId="16" fillId="0" borderId="0" xfId="141" applyFont="1" applyAlignment="1">
      <alignment horizontal="left" vertical="center"/>
    </xf>
    <xf numFmtId="0" fontId="13" fillId="0" borderId="0" xfId="141" applyFont="1" applyAlignment="1">
      <alignment horizontal="left" vertical="center" wrapText="1" indent="5"/>
    </xf>
    <xf numFmtId="9" fontId="14" fillId="24" borderId="0" xfId="1" applyFont="1" applyFill="1" applyBorder="1" applyAlignment="1" applyProtection="1">
      <alignment horizontal="center" vertical="top"/>
      <protection locked="0"/>
    </xf>
    <xf numFmtId="0" fontId="99" fillId="0" borderId="0" xfId="141" applyFont="1" applyAlignment="1">
      <alignment vertical="center"/>
    </xf>
    <xf numFmtId="0" fontId="99" fillId="0" borderId="0" xfId="141" applyFont="1" applyAlignment="1">
      <alignment horizontal="left" vertical="center"/>
    </xf>
    <xf numFmtId="0" fontId="13" fillId="0" borderId="0" xfId="141" applyFont="1" applyAlignment="1" applyProtection="1">
      <alignment horizontal="left" vertical="center" wrapText="1"/>
      <protection locked="0"/>
    </xf>
    <xf numFmtId="3" fontId="100" fillId="24" borderId="0" xfId="141" applyNumberFormat="1" applyFont="1" applyFill="1" applyAlignment="1" applyProtection="1">
      <alignment horizontal="center" vertical="center"/>
      <protection locked="0"/>
    </xf>
    <xf numFmtId="0" fontId="12" fillId="6" borderId="0" xfId="141" applyFont="1" applyFill="1" applyAlignment="1" applyProtection="1">
      <alignment horizontal="right" vertical="top" wrapText="1"/>
      <protection locked="0"/>
    </xf>
    <xf numFmtId="0" fontId="12" fillId="0" borderId="0" xfId="141" applyFont="1" applyAlignment="1">
      <alignment vertical="top"/>
    </xf>
    <xf numFmtId="0" fontId="12" fillId="0" borderId="0" xfId="141" applyFont="1" applyAlignment="1">
      <alignment horizontal="left" vertical="top"/>
    </xf>
    <xf numFmtId="3" fontId="93" fillId="0" borderId="0" xfId="141" applyNumberFormat="1" applyFont="1" applyAlignment="1">
      <alignment horizontal="left" vertical="center"/>
    </xf>
    <xf numFmtId="0" fontId="13" fillId="3" borderId="0" xfId="141" applyFont="1" applyFill="1" applyAlignment="1">
      <alignment horizontal="left" vertical="center" wrapText="1"/>
    </xf>
    <xf numFmtId="0" fontId="12" fillId="0" borderId="0" xfId="141" applyFont="1" applyAlignment="1">
      <alignment horizontal="left" vertical="center" wrapText="1" indent="2"/>
    </xf>
    <xf numFmtId="197" fontId="14" fillId="21" borderId="0" xfId="1" applyNumberFormat="1" applyFont="1" applyFill="1" applyBorder="1" applyAlignment="1" applyProtection="1">
      <alignment horizontal="center" vertical="top"/>
      <protection locked="0"/>
    </xf>
    <xf numFmtId="197" fontId="14" fillId="24" borderId="0" xfId="1" applyNumberFormat="1" applyFont="1" applyFill="1" applyBorder="1" applyAlignment="1" applyProtection="1">
      <alignment horizontal="center" vertical="top"/>
      <protection locked="0"/>
    </xf>
    <xf numFmtId="0" fontId="13" fillId="0" borderId="0" xfId="141" applyFont="1" applyAlignment="1">
      <alignment horizontal="left" vertical="center" wrapText="1" indent="2"/>
    </xf>
    <xf numFmtId="3" fontId="101" fillId="21" borderId="0" xfId="141" applyNumberFormat="1" applyFont="1" applyFill="1" applyAlignment="1" applyProtection="1">
      <alignment horizontal="center" vertical="center"/>
      <protection locked="0"/>
    </xf>
    <xf numFmtId="3" fontId="101" fillId="24" borderId="0" xfId="141" applyNumberFormat="1" applyFont="1" applyFill="1" applyAlignment="1" applyProtection="1">
      <alignment horizontal="center" vertical="center"/>
      <protection locked="0"/>
    </xf>
    <xf numFmtId="167" fontId="13" fillId="0" borderId="0" xfId="141" applyNumberFormat="1" applyFont="1" applyAlignment="1">
      <alignment vertical="center"/>
    </xf>
    <xf numFmtId="167" fontId="13" fillId="0" borderId="0" xfId="153" applyNumberFormat="1" applyFont="1" applyAlignment="1">
      <alignment vertical="center"/>
    </xf>
    <xf numFmtId="3" fontId="100" fillId="21" borderId="0" xfId="141" applyNumberFormat="1" applyFont="1" applyFill="1" applyAlignment="1" applyProtection="1">
      <alignment horizontal="center" vertical="center"/>
      <protection locked="0"/>
    </xf>
    <xf numFmtId="3" fontId="122" fillId="24" borderId="0" xfId="141" applyNumberFormat="1" applyFont="1" applyFill="1" applyAlignment="1" applyProtection="1">
      <alignment horizontal="center" vertical="center"/>
      <protection locked="0"/>
    </xf>
    <xf numFmtId="0" fontId="12" fillId="24" borderId="0" xfId="141" applyFont="1" applyFill="1" applyAlignment="1">
      <alignment vertical="center"/>
    </xf>
    <xf numFmtId="9" fontId="16" fillId="24" borderId="0" xfId="142" applyFont="1" applyFill="1" applyBorder="1" applyAlignment="1" applyProtection="1">
      <alignment horizontal="right" vertical="center"/>
      <protection locked="0"/>
    </xf>
    <xf numFmtId="3" fontId="24" fillId="24" borderId="0" xfId="141" applyNumberFormat="1" applyFont="1" applyFill="1" applyAlignment="1" applyProtection="1">
      <alignment horizontal="center" vertical="center"/>
      <protection locked="0"/>
    </xf>
    <xf numFmtId="168" fontId="12" fillId="0" borderId="0" xfId="141" applyNumberFormat="1" applyFont="1" applyAlignment="1" applyProtection="1">
      <alignment horizontal="right" vertical="center"/>
      <protection locked="0"/>
    </xf>
    <xf numFmtId="0" fontId="102" fillId="0" borderId="0" xfId="0" applyFont="1" applyAlignment="1">
      <alignment horizontal="center" vertical="center"/>
    </xf>
    <xf numFmtId="0" fontId="24" fillId="0" borderId="0" xfId="2" applyFont="1" applyAlignment="1" applyProtection="1">
      <alignment horizontal="center" vertical="center"/>
      <protection locked="0"/>
    </xf>
    <xf numFmtId="0" fontId="24" fillId="6" borderId="0" xfId="2" applyFont="1" applyFill="1" applyAlignment="1">
      <alignment horizontal="center" vertical="center"/>
    </xf>
    <xf numFmtId="0" fontId="24" fillId="0" borderId="15" xfId="2" applyFont="1" applyBorder="1" applyAlignment="1">
      <alignment horizontal="center" vertical="center" wrapText="1"/>
    </xf>
    <xf numFmtId="0" fontId="24" fillId="0" borderId="13" xfId="2" applyFont="1" applyBorder="1" applyAlignment="1" applyProtection="1">
      <alignment horizontal="center" vertical="center" wrapText="1"/>
      <protection locked="0"/>
    </xf>
    <xf numFmtId="0" fontId="83" fillId="19" borderId="16" xfId="5" applyFont="1" applyFill="1" applyBorder="1" applyAlignment="1">
      <alignment horizontal="left" vertical="center"/>
    </xf>
    <xf numFmtId="0" fontId="83" fillId="19" borderId="14" xfId="5" applyFont="1" applyFill="1" applyBorder="1" applyAlignment="1">
      <alignment horizontal="left" vertical="center"/>
    </xf>
    <xf numFmtId="0" fontId="24" fillId="0" borderId="16" xfId="5" applyFont="1" applyBorder="1" applyAlignment="1">
      <alignment horizontal="right" vertical="center"/>
    </xf>
    <xf numFmtId="0" fontId="24" fillId="18" borderId="14" xfId="5" applyFont="1" applyFill="1" applyBorder="1" applyAlignment="1">
      <alignment horizontal="center" vertical="center"/>
    </xf>
    <xf numFmtId="0" fontId="83" fillId="0" borderId="16" xfId="5" applyFont="1" applyBorder="1" applyAlignment="1">
      <alignment horizontal="left" vertical="center"/>
    </xf>
    <xf numFmtId="0" fontId="83" fillId="0" borderId="14" xfId="5" applyFont="1" applyBorder="1" applyAlignment="1">
      <alignment horizontal="center" vertical="center"/>
    </xf>
    <xf numFmtId="9" fontId="24" fillId="0" borderId="16" xfId="5" applyNumberFormat="1" applyFont="1" applyBorder="1" applyAlignment="1">
      <alignment horizontal="center" vertical="center"/>
    </xf>
    <xf numFmtId="9" fontId="24" fillId="18" borderId="16" xfId="1" applyFont="1" applyFill="1" applyBorder="1" applyAlignment="1">
      <alignment horizontal="left" vertical="center" indent="4"/>
    </xf>
    <xf numFmtId="9" fontId="24" fillId="18" borderId="14" xfId="1" applyFont="1" applyFill="1" applyBorder="1" applyAlignment="1">
      <alignment horizontal="center" vertical="center"/>
    </xf>
    <xf numFmtId="3" fontId="83" fillId="0" borderId="16" xfId="5" applyNumberFormat="1" applyFont="1" applyBorder="1" applyAlignment="1">
      <alignment horizontal="left" vertical="center"/>
    </xf>
    <xf numFmtId="3" fontId="24" fillId="0" borderId="16" xfId="5" applyNumberFormat="1" applyFont="1" applyBorder="1" applyAlignment="1">
      <alignment horizontal="left" vertical="center"/>
    </xf>
    <xf numFmtId="0" fontId="24" fillId="0" borderId="14" xfId="5" applyFont="1" applyBorder="1" applyAlignment="1">
      <alignment horizontal="center" vertical="center"/>
    </xf>
    <xf numFmtId="3" fontId="24" fillId="0" borderId="16" xfId="5" applyNumberFormat="1" applyFont="1" applyBorder="1" applyAlignment="1">
      <alignment horizontal="center" vertical="center"/>
    </xf>
    <xf numFmtId="3" fontId="24" fillId="0" borderId="14" xfId="5" applyNumberFormat="1" applyFont="1" applyBorder="1" applyAlignment="1">
      <alignment horizontal="center" vertical="center"/>
    </xf>
    <xf numFmtId="3" fontId="89" fillId="0" borderId="16" xfId="5" applyNumberFormat="1" applyFont="1" applyBorder="1" applyAlignment="1">
      <alignment horizontal="center" vertical="center"/>
    </xf>
    <xf numFmtId="197" fontId="24" fillId="0" borderId="14" xfId="5" applyNumberFormat="1" applyFont="1" applyBorder="1" applyAlignment="1">
      <alignment horizontal="center" vertical="center"/>
    </xf>
    <xf numFmtId="9" fontId="24" fillId="18" borderId="14" xfId="1" applyFont="1" applyFill="1" applyBorder="1" applyAlignment="1">
      <alignment horizontal="left" vertical="center" indent="4"/>
    </xf>
    <xf numFmtId="0" fontId="83" fillId="19" borderId="17" xfId="5" applyFont="1" applyFill="1" applyBorder="1" applyAlignment="1">
      <alignment horizontal="left" vertical="center"/>
    </xf>
    <xf numFmtId="0" fontId="116" fillId="0" borderId="0" xfId="0" applyFont="1"/>
    <xf numFmtId="9" fontId="24" fillId="0" borderId="14" xfId="1" applyFont="1" applyFill="1" applyBorder="1" applyAlignment="1">
      <alignment horizontal="center" vertical="center"/>
    </xf>
    <xf numFmtId="0" fontId="83" fillId="0" borderId="14" xfId="5" applyFont="1" applyFill="1" applyBorder="1" applyAlignment="1">
      <alignment horizontal="center" vertical="center"/>
    </xf>
    <xf numFmtId="200" fontId="139" fillId="3" borderId="46" xfId="0" applyNumberFormat="1" applyFont="1" applyFill="1" applyBorder="1" applyAlignment="1">
      <alignment horizontal="center" vertical="center"/>
    </xf>
    <xf numFmtId="200" fontId="139" fillId="3" borderId="44" xfId="0" applyNumberFormat="1" applyFont="1" applyFill="1" applyBorder="1" applyAlignment="1">
      <alignment horizontal="center" vertical="center"/>
    </xf>
    <xf numFmtId="200" fontId="139" fillId="3" borderId="54" xfId="0" applyNumberFormat="1" applyFont="1" applyFill="1" applyBorder="1" applyAlignment="1">
      <alignment horizontal="center" vertical="center"/>
    </xf>
    <xf numFmtId="200" fontId="139" fillId="3" borderId="43" xfId="0" applyNumberFormat="1" applyFont="1" applyFill="1" applyBorder="1" applyAlignment="1">
      <alignment horizontal="center" vertical="center"/>
    </xf>
    <xf numFmtId="3" fontId="142" fillId="3" borderId="44" xfId="0" applyNumberFormat="1" applyFont="1" applyFill="1" applyBorder="1" applyAlignment="1">
      <alignment horizontal="center" vertical="center"/>
    </xf>
    <xf numFmtId="200" fontId="142" fillId="3" borderId="44" xfId="0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3" fontId="102" fillId="0" borderId="0" xfId="0" applyNumberFormat="1" applyFont="1" applyAlignment="1">
      <alignment horizontal="center"/>
    </xf>
    <xf numFmtId="10" fontId="24" fillId="3" borderId="14" xfId="5" applyNumberFormat="1" applyFont="1" applyFill="1" applyBorder="1" applyAlignment="1">
      <alignment horizontal="center" vertical="center"/>
    </xf>
    <xf numFmtId="0" fontId="102" fillId="3" borderId="0" xfId="0" applyFont="1" applyFill="1"/>
    <xf numFmtId="3" fontId="24" fillId="3" borderId="16" xfId="5" applyNumberFormat="1" applyFont="1" applyFill="1" applyBorder="1" applyAlignment="1">
      <alignment horizontal="center" vertical="center"/>
    </xf>
    <xf numFmtId="10" fontId="24" fillId="0" borderId="14" xfId="5" applyNumberFormat="1" applyFont="1" applyBorder="1" applyAlignment="1">
      <alignment horizontal="center" vertical="center"/>
    </xf>
    <xf numFmtId="0" fontId="24" fillId="3" borderId="14" xfId="5" applyFont="1" applyFill="1" applyBorder="1" applyAlignment="1">
      <alignment horizontal="center" vertical="center"/>
    </xf>
    <xf numFmtId="174" fontId="89" fillId="27" borderId="0" xfId="7" applyNumberFormat="1" applyFont="1" applyFill="1" applyBorder="1" applyAlignment="1">
      <alignment horizontal="center" vertical="center"/>
    </xf>
    <xf numFmtId="197" fontId="21" fillId="0" borderId="0" xfId="0" applyNumberFormat="1" applyFont="1" applyAlignment="1">
      <alignment vertical="center"/>
    </xf>
    <xf numFmtId="197" fontId="127" fillId="0" borderId="0" xfId="0" applyNumberFormat="1" applyFont="1" applyAlignment="1">
      <alignment vertical="center"/>
    </xf>
    <xf numFmtId="3" fontId="24" fillId="0" borderId="0" xfId="9" applyNumberFormat="1" applyFont="1" applyAlignment="1">
      <alignment vertical="center"/>
    </xf>
    <xf numFmtId="3" fontId="108" fillId="0" borderId="0" xfId="9" applyNumberFormat="1" applyFont="1" applyAlignment="1">
      <alignment horizontal="left" vertical="center"/>
    </xf>
    <xf numFmtId="3" fontId="102" fillId="6" borderId="0" xfId="9" applyNumberFormat="1" applyFont="1" applyFill="1" applyAlignment="1">
      <alignment horizontal="center" vertical="center"/>
    </xf>
    <xf numFmtId="3" fontId="102" fillId="0" borderId="0" xfId="9" applyNumberFormat="1" applyFont="1" applyAlignment="1">
      <alignment horizontal="left" vertical="center"/>
    </xf>
    <xf numFmtId="9" fontId="24" fillId="0" borderId="0" xfId="9" applyNumberFormat="1" applyFont="1" applyAlignment="1">
      <alignment horizontal="center" vertical="center"/>
    </xf>
    <xf numFmtId="3" fontId="83" fillId="0" borderId="0" xfId="9" applyNumberFormat="1" applyFont="1" applyAlignment="1" applyProtection="1">
      <alignment horizontal="center" vertical="center"/>
      <protection locked="0"/>
    </xf>
    <xf numFmtId="165" fontId="83" fillId="0" borderId="0" xfId="9" applyNumberFormat="1" applyFont="1" applyAlignment="1" applyProtection="1">
      <alignment vertical="center"/>
      <protection locked="0"/>
    </xf>
    <xf numFmtId="3" fontId="24" fillId="0" borderId="56" xfId="9" applyNumberFormat="1" applyFont="1" applyBorder="1" applyAlignment="1">
      <alignment horizontal="center" vertical="center" wrapText="1"/>
    </xf>
    <xf numFmtId="3" fontId="24" fillId="0" borderId="4" xfId="9" applyNumberFormat="1" applyFont="1" applyBorder="1" applyAlignment="1">
      <alignment vertical="center" wrapText="1"/>
    </xf>
    <xf numFmtId="165" fontId="83" fillId="0" borderId="0" xfId="9" applyNumberFormat="1" applyFont="1" applyAlignment="1" applyProtection="1">
      <alignment horizontal="center" vertical="center"/>
      <protection locked="0"/>
    </xf>
    <xf numFmtId="3" fontId="24" fillId="0" borderId="4" xfId="9" applyNumberFormat="1" applyFont="1" applyBorder="1" applyAlignment="1">
      <alignment vertical="center"/>
    </xf>
    <xf numFmtId="9" fontId="24" fillId="0" borderId="4" xfId="1" applyFont="1" applyFill="1" applyBorder="1" applyAlignment="1">
      <alignment vertical="center"/>
    </xf>
    <xf numFmtId="3" fontId="24" fillId="0" borderId="56" xfId="9" applyNumberFormat="1" applyFont="1" applyBorder="1" applyAlignment="1">
      <alignment vertical="center"/>
    </xf>
    <xf numFmtId="3" fontId="143" fillId="0" borderId="4" xfId="9" applyNumberFormat="1" applyFont="1" applyBorder="1" applyAlignment="1">
      <alignment vertical="center" wrapText="1"/>
    </xf>
    <xf numFmtId="3" fontId="24" fillId="0" borderId="4" xfId="9" applyNumberFormat="1" applyFont="1" applyBorder="1" applyAlignment="1">
      <alignment horizontal="left" vertical="center"/>
    </xf>
    <xf numFmtId="197" fontId="24" fillId="0" borderId="4" xfId="1" applyNumberFormat="1" applyFont="1" applyFill="1" applyBorder="1" applyAlignment="1">
      <alignment vertical="center"/>
    </xf>
    <xf numFmtId="0" fontId="144" fillId="0" borderId="7" xfId="0" applyFont="1" applyBorder="1" applyAlignment="1">
      <alignment horizontal="left" vertical="center" wrapText="1" indent="4"/>
    </xf>
    <xf numFmtId="197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20" fillId="0" borderId="0" xfId="87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45" fillId="0" borderId="57" xfId="87" applyFont="1" applyBorder="1" applyAlignment="1">
      <alignment vertical="center"/>
    </xf>
    <xf numFmtId="0" fontId="120" fillId="0" borderId="57" xfId="87" applyFont="1" applyBorder="1" applyAlignment="1">
      <alignment vertical="center"/>
    </xf>
    <xf numFmtId="0" fontId="120" fillId="0" borderId="57" xfId="87" applyFont="1" applyBorder="1" applyAlignment="1" applyProtection="1">
      <alignment vertical="center"/>
      <protection locked="0"/>
    </xf>
    <xf numFmtId="0" fontId="148" fillId="0" borderId="0" xfId="0" applyFont="1"/>
    <xf numFmtId="0" fontId="144" fillId="0" borderId="0" xfId="0" applyFont="1" applyAlignment="1">
      <alignment wrapText="1"/>
    </xf>
    <xf numFmtId="0" fontId="144" fillId="0" borderId="0" xfId="0" applyFont="1"/>
    <xf numFmtId="0" fontId="149" fillId="7" borderId="58" xfId="0" applyFont="1" applyFill="1" applyBorder="1" applyAlignment="1">
      <alignment horizontal="left" vertical="center" wrapText="1" readingOrder="1"/>
    </xf>
    <xf numFmtId="202" fontId="150" fillId="7" borderId="59" xfId="148" applyNumberFormat="1" applyFont="1" applyFill="1" applyBorder="1" applyAlignment="1">
      <alignment horizontal="center" vertical="center"/>
    </xf>
    <xf numFmtId="0" fontId="144" fillId="0" borderId="0" xfId="0" applyFont="1" applyAlignment="1">
      <alignment horizontal="center" vertical="center" wrapText="1"/>
    </xf>
    <xf numFmtId="202" fontId="151" fillId="0" borderId="23" xfId="148" applyNumberFormat="1" applyFont="1" applyBorder="1" applyAlignment="1">
      <alignment horizontal="left" vertical="center"/>
    </xf>
    <xf numFmtId="202" fontId="147" fillId="0" borderId="23" xfId="148" applyNumberFormat="1" applyFont="1" applyBorder="1" applyAlignment="1">
      <alignment horizontal="center" vertical="center"/>
    </xf>
    <xf numFmtId="0" fontId="152" fillId="0" borderId="0" xfId="148" applyFont="1" applyFill="1" applyBorder="1" applyAlignment="1">
      <alignment vertical="center" wrapText="1"/>
    </xf>
    <xf numFmtId="174" fontId="109" fillId="0" borderId="0" xfId="0" applyNumberFormat="1" applyFont="1" applyFill="1" applyBorder="1" applyAlignment="1" applyProtection="1">
      <alignment horizontal="center" vertical="center"/>
      <protection locked="0"/>
    </xf>
    <xf numFmtId="171" fontId="109" fillId="0" borderId="0" xfId="148" applyNumberFormat="1" applyFont="1" applyFill="1" applyBorder="1" applyAlignment="1">
      <alignment horizontal="center" vertical="center"/>
    </xf>
    <xf numFmtId="172" fontId="109" fillId="0" borderId="0" xfId="148" applyNumberFormat="1" applyFont="1" applyFill="1" applyBorder="1" applyAlignment="1">
      <alignment horizontal="center" vertical="center"/>
    </xf>
    <xf numFmtId="9" fontId="109" fillId="0" borderId="0" xfId="146" applyFont="1" applyFill="1" applyBorder="1" applyAlignment="1">
      <alignment horizontal="center" vertical="center"/>
    </xf>
    <xf numFmtId="0" fontId="109" fillId="0" borderId="0" xfId="0" applyFont="1" applyFill="1" applyBorder="1" applyAlignment="1" applyProtection="1">
      <alignment vertical="center"/>
      <protection locked="0"/>
    </xf>
    <xf numFmtId="0" fontId="152" fillId="0" borderId="0" xfId="148" applyFont="1" applyFill="1" applyBorder="1" applyAlignment="1">
      <alignment vertical="top"/>
    </xf>
    <xf numFmtId="0" fontId="109" fillId="0" borderId="0" xfId="0" applyFont="1" applyFill="1" applyBorder="1" applyAlignment="1" applyProtection="1">
      <alignment horizontal="center" vertical="center" wrapText="1"/>
      <protection locked="0"/>
    </xf>
    <xf numFmtId="9" fontId="109" fillId="0" borderId="0" xfId="0" applyNumberFormat="1" applyFont="1" applyFill="1" applyBorder="1" applyAlignment="1" applyProtection="1">
      <alignment horizontal="center" vertical="center"/>
      <protection locked="0"/>
    </xf>
    <xf numFmtId="0" fontId="119" fillId="0" borderId="0" xfId="148" applyFont="1" applyAlignment="1">
      <alignment horizontal="left" vertical="center" wrapText="1"/>
    </xf>
    <xf numFmtId="174" fontId="109" fillId="0" borderId="0" xfId="0" applyNumberFormat="1" applyFont="1" applyAlignment="1" applyProtection="1">
      <alignment horizontal="center" vertical="center"/>
      <protection locked="0"/>
    </xf>
    <xf numFmtId="174" fontId="119" fillId="0" borderId="0" xfId="0" applyNumberFormat="1" applyFont="1" applyAlignment="1" applyProtection="1">
      <alignment horizontal="center" vertical="center"/>
      <protection locked="0"/>
    </xf>
    <xf numFmtId="0" fontId="83" fillId="0" borderId="0" xfId="148" applyFont="1" applyAlignment="1">
      <alignment vertical="top"/>
    </xf>
    <xf numFmtId="3" fontId="121" fillId="0" borderId="0" xfId="0" applyNumberFormat="1" applyFont="1" applyAlignment="1">
      <alignment vertical="center"/>
    </xf>
    <xf numFmtId="3" fontId="24" fillId="0" borderId="0" xfId="0" applyNumberFormat="1" applyFont="1" applyAlignment="1" applyProtection="1">
      <alignment vertical="center"/>
      <protection locked="0"/>
    </xf>
    <xf numFmtId="3" fontId="24" fillId="0" borderId="0" xfId="0" applyNumberFormat="1" applyFont="1" applyAlignment="1" applyProtection="1">
      <alignment horizontal="center" vertical="center"/>
      <protection locked="0"/>
    </xf>
    <xf numFmtId="0" fontId="153" fillId="0" borderId="0" xfId="148" applyFont="1" applyAlignment="1">
      <alignment horizontal="left" vertical="center" wrapText="1"/>
    </xf>
    <xf numFmtId="171" fontId="154" fillId="0" borderId="0" xfId="148" applyNumberFormat="1" applyFont="1" applyAlignment="1">
      <alignment horizontal="center" vertical="center"/>
    </xf>
    <xf numFmtId="1" fontId="155" fillId="0" borderId="0" xfId="148" applyNumberFormat="1" applyFont="1" applyAlignment="1">
      <alignment horizontal="center" vertical="center"/>
    </xf>
    <xf numFmtId="171" fontId="119" fillId="0" borderId="0" xfId="148" applyNumberFormat="1" applyFont="1" applyAlignment="1">
      <alignment horizontal="center" vertical="center"/>
    </xf>
    <xf numFmtId="172" fontId="154" fillId="0" borderId="0" xfId="148" applyNumberFormat="1" applyFont="1" applyAlignment="1">
      <alignment horizontal="center" vertical="center"/>
    </xf>
    <xf numFmtId="172" fontId="155" fillId="0" borderId="0" xfId="148" applyNumberFormat="1" applyFont="1" applyAlignment="1">
      <alignment horizontal="center" vertical="center"/>
    </xf>
    <xf numFmtId="172" fontId="119" fillId="0" borderId="0" xfId="148" applyNumberFormat="1" applyFont="1" applyAlignment="1">
      <alignment horizontal="center" vertical="center"/>
    </xf>
    <xf numFmtId="9" fontId="154" fillId="0" borderId="0" xfId="146" applyFont="1" applyFill="1" applyBorder="1" applyAlignment="1">
      <alignment horizontal="center" vertical="center"/>
    </xf>
    <xf numFmtId="9" fontId="155" fillId="0" borderId="0" xfId="146" applyFont="1" applyFill="1" applyBorder="1" applyAlignment="1">
      <alignment horizontal="center" vertical="center"/>
    </xf>
    <xf numFmtId="0" fontId="24" fillId="0" borderId="0" xfId="148" applyFont="1" applyAlignment="1">
      <alignment horizontal="left" vertical="center" wrapText="1"/>
    </xf>
    <xf numFmtId="0" fontId="156" fillId="0" borderId="0" xfId="148" applyFont="1" applyAlignment="1">
      <alignment horizontal="left" vertical="center" wrapText="1"/>
    </xf>
    <xf numFmtId="1" fontId="119" fillId="0" borderId="0" xfId="148" applyNumberFormat="1" applyFont="1" applyAlignment="1">
      <alignment horizontal="center" vertical="center"/>
    </xf>
    <xf numFmtId="171" fontId="24" fillId="0" borderId="0" xfId="0" applyNumberFormat="1" applyFont="1" applyAlignment="1" applyProtection="1">
      <alignment vertical="center"/>
      <protection locked="0"/>
    </xf>
    <xf numFmtId="0" fontId="157" fillId="7" borderId="19" xfId="0" applyFont="1" applyFill="1" applyBorder="1" applyAlignment="1">
      <alignment horizontal="left" vertical="center" wrapText="1" readingOrder="1"/>
    </xf>
    <xf numFmtId="0" fontId="157" fillId="0" borderId="22" xfId="0" applyFont="1" applyBorder="1" applyAlignment="1">
      <alignment horizontal="left" vertical="center" wrapText="1" readingOrder="1"/>
    </xf>
    <xf numFmtId="0" fontId="157" fillId="0" borderId="25" xfId="0" applyFont="1" applyBorder="1" applyAlignment="1">
      <alignment horizontal="left" vertical="center" wrapText="1" readingOrder="1"/>
    </xf>
    <xf numFmtId="0" fontId="157" fillId="0" borderId="28" xfId="0" applyFont="1" applyBorder="1" applyAlignment="1">
      <alignment horizontal="left" vertical="center" wrapText="1" readingOrder="1"/>
    </xf>
    <xf numFmtId="0" fontId="157" fillId="0" borderId="31" xfId="0" applyFont="1" applyBorder="1" applyAlignment="1">
      <alignment horizontal="left" vertical="center" wrapText="1" readingOrder="1"/>
    </xf>
    <xf numFmtId="0" fontId="157" fillId="0" borderId="0" xfId="0" applyFont="1" applyAlignment="1" applyProtection="1">
      <alignment vertical="center"/>
      <protection locked="0"/>
    </xf>
    <xf numFmtId="0" fontId="158" fillId="0" borderId="0" xfId="0" applyFont="1" applyAlignment="1" applyProtection="1">
      <alignment vertical="center"/>
      <protection locked="0"/>
    </xf>
    <xf numFmtId="0" fontId="157" fillId="0" borderId="0" xfId="0" applyFont="1" applyAlignment="1">
      <alignment vertical="center"/>
    </xf>
    <xf numFmtId="0" fontId="159" fillId="7" borderId="58" xfId="0" applyFont="1" applyFill="1" applyBorder="1" applyAlignment="1">
      <alignment horizontal="left" vertical="center" wrapText="1" readingOrder="1"/>
    </xf>
    <xf numFmtId="3" fontId="159" fillId="7" borderId="59" xfId="148" applyNumberFormat="1" applyFont="1" applyFill="1" applyBorder="1" applyAlignment="1">
      <alignment horizontal="center" vertical="center"/>
    </xf>
    <xf numFmtId="3" fontId="159" fillId="7" borderId="60" xfId="148" applyNumberFormat="1" applyFont="1" applyFill="1" applyBorder="1" applyAlignment="1">
      <alignment horizontal="center" vertical="center"/>
    </xf>
    <xf numFmtId="0" fontId="157" fillId="0" borderId="61" xfId="0" applyFont="1" applyBorder="1" applyAlignment="1">
      <alignment horizontal="left" vertical="center" wrapText="1" readingOrder="1"/>
    </xf>
    <xf numFmtId="9" fontId="160" fillId="0" borderId="26" xfId="1" applyFont="1" applyBorder="1" applyAlignment="1">
      <alignment horizontal="center" vertical="center"/>
    </xf>
    <xf numFmtId="9" fontId="160" fillId="0" borderId="63" xfId="1" applyFont="1" applyBorder="1" applyAlignment="1">
      <alignment horizontal="center" vertical="center"/>
    </xf>
    <xf numFmtId="0" fontId="157" fillId="0" borderId="65" xfId="0" applyFont="1" applyBorder="1" applyAlignment="1">
      <alignment horizontal="left" vertical="center" wrapText="1" readingOrder="1"/>
    </xf>
    <xf numFmtId="9" fontId="159" fillId="0" borderId="66" xfId="148" applyNumberFormat="1" applyFont="1" applyBorder="1" applyAlignment="1">
      <alignment horizontal="center" vertical="center"/>
    </xf>
    <xf numFmtId="9" fontId="159" fillId="0" borderId="67" xfId="148" applyNumberFormat="1" applyFont="1" applyBorder="1" applyAlignment="1">
      <alignment horizontal="center" vertical="center"/>
    </xf>
    <xf numFmtId="176" fontId="161" fillId="7" borderId="21" xfId="148" applyNumberFormat="1" applyFont="1" applyFill="1" applyBorder="1" applyAlignment="1">
      <alignment horizontal="center" vertical="center"/>
    </xf>
    <xf numFmtId="176" fontId="161" fillId="7" borderId="20" xfId="148" applyNumberFormat="1" applyFont="1" applyFill="1" applyBorder="1" applyAlignment="1">
      <alignment horizontal="center" vertical="center"/>
    </xf>
    <xf numFmtId="176" fontId="161" fillId="0" borderId="23" xfId="148" applyNumberFormat="1" applyFont="1" applyBorder="1" applyAlignment="1">
      <alignment horizontal="center" vertical="center"/>
    </xf>
    <xf numFmtId="176" fontId="161" fillId="0" borderId="24" xfId="148" applyNumberFormat="1" applyFont="1" applyBorder="1" applyAlignment="1">
      <alignment horizontal="center" vertical="center"/>
    </xf>
    <xf numFmtId="176" fontId="161" fillId="0" borderId="26" xfId="148" applyNumberFormat="1" applyFont="1" applyBorder="1" applyAlignment="1">
      <alignment horizontal="center" vertical="center"/>
    </xf>
    <xf numFmtId="176" fontId="161" fillId="0" borderId="29" xfId="148" applyNumberFormat="1" applyFont="1" applyBorder="1" applyAlignment="1">
      <alignment horizontal="center" vertical="center"/>
    </xf>
    <xf numFmtId="176" fontId="161" fillId="0" borderId="32" xfId="148" applyNumberFormat="1" applyFont="1" applyBorder="1" applyAlignment="1">
      <alignment horizontal="center" vertical="center"/>
    </xf>
    <xf numFmtId="176" fontId="161" fillId="0" borderId="68" xfId="148" applyNumberFormat="1" applyFont="1" applyBorder="1" applyAlignment="1">
      <alignment horizontal="center" vertical="center"/>
    </xf>
    <xf numFmtId="176" fontId="161" fillId="0" borderId="69" xfId="148" applyNumberFormat="1" applyFont="1" applyBorder="1" applyAlignment="1">
      <alignment horizontal="center" vertical="center"/>
    </xf>
    <xf numFmtId="202" fontId="159" fillId="0" borderId="23" xfId="148" applyNumberFormat="1" applyFont="1" applyBorder="1" applyAlignment="1">
      <alignment horizontal="center" vertical="center"/>
    </xf>
    <xf numFmtId="202" fontId="159" fillId="0" borderId="62" xfId="148" applyNumberFormat="1" applyFont="1" applyBorder="1" applyAlignment="1">
      <alignment horizontal="center" vertical="center"/>
    </xf>
    <xf numFmtId="202" fontId="159" fillId="0" borderId="26" xfId="148" applyNumberFormat="1" applyFont="1" applyBorder="1" applyAlignment="1">
      <alignment horizontal="center" vertical="center"/>
    </xf>
    <xf numFmtId="202" fontId="159" fillId="0" borderId="63" xfId="148" applyNumberFormat="1" applyFont="1" applyBorder="1" applyAlignment="1">
      <alignment horizontal="center" vertical="center"/>
    </xf>
    <xf numFmtId="202" fontId="159" fillId="0" borderId="29" xfId="148" applyNumberFormat="1" applyFont="1" applyBorder="1" applyAlignment="1">
      <alignment horizontal="center" vertical="center"/>
    </xf>
    <xf numFmtId="202" fontId="159" fillId="0" borderId="64" xfId="148" applyNumberFormat="1" applyFont="1" applyBorder="1" applyAlignment="1">
      <alignment horizontal="center" vertical="center"/>
    </xf>
    <xf numFmtId="0" fontId="157" fillId="0" borderId="0" xfId="0" applyFont="1" applyBorder="1" applyAlignment="1">
      <alignment horizontal="left" vertical="center" wrapText="1" readingOrder="1"/>
    </xf>
    <xf numFmtId="9" fontId="159" fillId="0" borderId="0" xfId="148" applyNumberFormat="1" applyFont="1" applyBorder="1" applyAlignment="1">
      <alignment horizontal="center" vertical="center"/>
    </xf>
    <xf numFmtId="0" fontId="145" fillId="0" borderId="18" xfId="155" applyFont="1" applyAlignment="1">
      <alignment vertical="center"/>
    </xf>
    <xf numFmtId="0" fontId="145" fillId="0" borderId="18" xfId="155" applyFont="1" applyAlignment="1" applyProtection="1">
      <alignment vertical="center"/>
      <protection locked="0"/>
    </xf>
    <xf numFmtId="0" fontId="146" fillId="0" borderId="0" xfId="0" applyFont="1" applyBorder="1" applyAlignment="1">
      <alignment vertical="center"/>
    </xf>
    <xf numFmtId="0" fontId="109" fillId="0" borderId="0" xfId="148" applyFont="1" applyFill="1" applyBorder="1" applyAlignment="1">
      <alignment horizontal="left" vertical="center" wrapText="1"/>
    </xf>
    <xf numFmtId="0" fontId="109" fillId="0" borderId="0" xfId="148" applyFont="1" applyFill="1" applyBorder="1" applyAlignment="1">
      <alignment horizontal="center" vertical="center"/>
    </xf>
    <xf numFmtId="0" fontId="109" fillId="0" borderId="0" xfId="148" applyFont="1" applyFill="1" applyBorder="1" applyAlignment="1">
      <alignment vertical="center"/>
    </xf>
    <xf numFmtId="0" fontId="109" fillId="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vertical="center"/>
    </xf>
    <xf numFmtId="0" fontId="109" fillId="0" borderId="0" xfId="0" applyFont="1" applyFill="1" applyBorder="1" applyAlignment="1" applyProtection="1">
      <alignment horizontal="left" vertical="center" wrapText="1"/>
      <protection locked="0"/>
    </xf>
    <xf numFmtId="3" fontId="109" fillId="0" borderId="0" xfId="0" applyNumberFormat="1" applyFont="1" applyFill="1" applyBorder="1" applyAlignment="1">
      <alignment vertical="center"/>
    </xf>
    <xf numFmtId="3" fontId="109" fillId="0" borderId="0" xfId="0" applyNumberFormat="1" applyFont="1" applyFill="1" applyBorder="1" applyAlignment="1" applyProtection="1">
      <alignment vertical="center"/>
      <protection locked="0"/>
    </xf>
    <xf numFmtId="3" fontId="109" fillId="0" borderId="0" xfId="0" applyNumberFormat="1" applyFont="1" applyFill="1" applyBorder="1" applyAlignment="1" applyProtection="1">
      <alignment horizontal="center" vertical="center"/>
      <protection locked="0"/>
    </xf>
    <xf numFmtId="0" fontId="164" fillId="0" borderId="0" xfId="0" applyFont="1" applyFill="1" applyBorder="1" applyAlignment="1">
      <alignment vertical="center"/>
    </xf>
    <xf numFmtId="0" fontId="162" fillId="0" borderId="0" xfId="0" applyFont="1" applyFill="1" applyBorder="1" applyAlignment="1" applyProtection="1">
      <alignment horizontal="left" vertical="center"/>
      <protection locked="0"/>
    </xf>
    <xf numFmtId="0" fontId="162" fillId="0" borderId="0" xfId="0" applyFont="1" applyFill="1" applyBorder="1" applyAlignment="1">
      <alignment horizontal="center" vertical="center"/>
    </xf>
    <xf numFmtId="0" fontId="163" fillId="0" borderId="0" xfId="155" applyFont="1" applyFill="1" applyBorder="1" applyAlignment="1">
      <alignment vertical="center"/>
    </xf>
    <xf numFmtId="0" fontId="163" fillId="0" borderId="0" xfId="155" applyFont="1" applyFill="1" applyBorder="1" applyAlignment="1" applyProtection="1">
      <alignment vertical="center"/>
      <protection locked="0"/>
    </xf>
    <xf numFmtId="0" fontId="158" fillId="0" borderId="0" xfId="0" applyFont="1" applyBorder="1" applyAlignment="1" applyProtection="1">
      <alignment vertical="center"/>
      <protection locked="0"/>
    </xf>
    <xf numFmtId="0" fontId="158" fillId="0" borderId="0" xfId="0" applyFont="1" applyBorder="1" applyAlignment="1">
      <alignment vertical="center"/>
    </xf>
    <xf numFmtId="0" fontId="157" fillId="0" borderId="0" xfId="0" applyFont="1" applyBorder="1" applyAlignment="1" applyProtection="1">
      <alignment vertical="center"/>
      <protection locked="0"/>
    </xf>
    <xf numFmtId="0" fontId="157" fillId="0" borderId="0" xfId="0" applyFont="1" applyBorder="1" applyAlignment="1" applyProtection="1">
      <alignment horizontal="center" vertical="center"/>
      <protection locked="0"/>
    </xf>
    <xf numFmtId="3" fontId="92" fillId="7" borderId="20" xfId="148" applyNumberFormat="1" applyFont="1" applyFill="1" applyBorder="1" applyAlignment="1">
      <alignment horizontal="center" vertical="center"/>
    </xf>
    <xf numFmtId="3" fontId="92" fillId="7" borderId="21" xfId="148" applyNumberFormat="1" applyFont="1" applyFill="1" applyBorder="1" applyAlignment="1">
      <alignment horizontal="center" vertical="center"/>
    </xf>
    <xf numFmtId="3" fontId="92" fillId="7" borderId="19" xfId="148" applyNumberFormat="1" applyFont="1" applyFill="1" applyBorder="1" applyAlignment="1">
      <alignment horizontal="center" vertical="center"/>
    </xf>
    <xf numFmtId="3" fontId="92" fillId="0" borderId="23" xfId="148" applyNumberFormat="1" applyFont="1" applyBorder="1" applyAlignment="1">
      <alignment horizontal="center" vertical="center"/>
    </xf>
    <xf numFmtId="3" fontId="92" fillId="0" borderId="24" xfId="148" applyNumberFormat="1" applyFont="1" applyBorder="1" applyAlignment="1">
      <alignment horizontal="center" vertical="center"/>
    </xf>
    <xf numFmtId="3" fontId="92" fillId="0" borderId="22" xfId="148" applyNumberFormat="1" applyFont="1" applyBorder="1" applyAlignment="1">
      <alignment horizontal="center" vertical="center"/>
    </xf>
    <xf numFmtId="3" fontId="92" fillId="0" borderId="26" xfId="148" applyNumberFormat="1" applyFont="1" applyBorder="1" applyAlignment="1">
      <alignment horizontal="center" vertical="center"/>
    </xf>
    <xf numFmtId="3" fontId="92" fillId="0" borderId="27" xfId="148" applyNumberFormat="1" applyFont="1" applyBorder="1" applyAlignment="1">
      <alignment horizontal="center" vertical="center"/>
    </xf>
    <xf numFmtId="3" fontId="92" fillId="0" borderId="25" xfId="148" applyNumberFormat="1" applyFont="1" applyBorder="1" applyAlignment="1">
      <alignment horizontal="center" vertical="center"/>
    </xf>
    <xf numFmtId="3" fontId="92" fillId="0" borderId="29" xfId="148" applyNumberFormat="1" applyFont="1" applyBorder="1" applyAlignment="1">
      <alignment horizontal="center" vertical="center"/>
    </xf>
    <xf numFmtId="3" fontId="92" fillId="0" borderId="30" xfId="148" applyNumberFormat="1" applyFont="1" applyBorder="1" applyAlignment="1">
      <alignment horizontal="center" vertical="center"/>
    </xf>
    <xf numFmtId="3" fontId="92" fillId="0" borderId="28" xfId="148" applyNumberFormat="1" applyFont="1" applyBorder="1" applyAlignment="1">
      <alignment horizontal="center" vertical="center"/>
    </xf>
    <xf numFmtId="9" fontId="92" fillId="7" borderId="20" xfId="148" applyNumberFormat="1" applyFont="1" applyFill="1" applyBorder="1" applyAlignment="1">
      <alignment horizontal="center" vertical="center"/>
    </xf>
    <xf numFmtId="9" fontId="92" fillId="7" borderId="21" xfId="148" applyNumberFormat="1" applyFont="1" applyFill="1" applyBorder="1" applyAlignment="1">
      <alignment horizontal="center" vertical="center"/>
    </xf>
    <xf numFmtId="9" fontId="92" fillId="7" borderId="19" xfId="148" applyNumberFormat="1" applyFont="1" applyFill="1" applyBorder="1" applyAlignment="1">
      <alignment horizontal="center" vertical="center"/>
    </xf>
    <xf numFmtId="9" fontId="92" fillId="0" borderId="23" xfId="148" applyNumberFormat="1" applyFont="1" applyBorder="1" applyAlignment="1">
      <alignment horizontal="center" vertical="center"/>
    </xf>
    <xf numFmtId="9" fontId="92" fillId="0" borderId="24" xfId="148" applyNumberFormat="1" applyFont="1" applyBorder="1" applyAlignment="1">
      <alignment horizontal="center" vertical="center"/>
    </xf>
    <xf numFmtId="9" fontId="92" fillId="0" borderId="22" xfId="148" applyNumberFormat="1" applyFont="1" applyBorder="1" applyAlignment="1">
      <alignment horizontal="center" vertical="center"/>
    </xf>
    <xf numFmtId="9" fontId="92" fillId="0" borderId="26" xfId="148" applyNumberFormat="1" applyFont="1" applyBorder="1" applyAlignment="1">
      <alignment horizontal="center" vertical="center"/>
    </xf>
    <xf numFmtId="9" fontId="92" fillId="0" borderId="27" xfId="148" applyNumberFormat="1" applyFont="1" applyBorder="1" applyAlignment="1">
      <alignment horizontal="center" vertical="center"/>
    </xf>
    <xf numFmtId="9" fontId="92" fillId="0" borderId="25" xfId="148" applyNumberFormat="1" applyFont="1" applyBorder="1" applyAlignment="1">
      <alignment horizontal="center" vertical="center"/>
    </xf>
    <xf numFmtId="9" fontId="92" fillId="0" borderId="32" xfId="148" applyNumberFormat="1" applyFont="1" applyBorder="1" applyAlignment="1">
      <alignment horizontal="center" vertical="center"/>
    </xf>
    <xf numFmtId="9" fontId="92" fillId="0" borderId="33" xfId="148" applyNumberFormat="1" applyFont="1" applyBorder="1" applyAlignment="1">
      <alignment horizontal="center" vertical="center"/>
    </xf>
    <xf numFmtId="9" fontId="92" fillId="0" borderId="31" xfId="148" applyNumberFormat="1" applyFont="1" applyBorder="1" applyAlignment="1">
      <alignment horizontal="center" vertical="center"/>
    </xf>
    <xf numFmtId="3" fontId="165" fillId="24" borderId="8" xfId="9" applyNumberFormat="1" applyFont="1" applyFill="1" applyBorder="1" applyAlignment="1">
      <alignment horizontal="center" vertical="center"/>
    </xf>
    <xf numFmtId="3" fontId="166" fillId="26" borderId="8" xfId="9" applyNumberFormat="1" applyFont="1" applyFill="1" applyBorder="1" applyAlignment="1" applyProtection="1">
      <alignment horizontal="center" vertical="center"/>
      <protection locked="0"/>
    </xf>
    <xf numFmtId="165" fontId="109" fillId="0" borderId="8" xfId="9" applyNumberFormat="1" applyFont="1" applyFill="1" applyBorder="1" applyAlignment="1" applyProtection="1">
      <alignment vertical="center"/>
      <protection locked="0"/>
    </xf>
    <xf numFmtId="165" fontId="109" fillId="23" borderId="8" xfId="9" applyNumberFormat="1" applyFont="1" applyFill="1" applyBorder="1" applyAlignment="1" applyProtection="1">
      <alignment vertical="center"/>
      <protection locked="0"/>
    </xf>
    <xf numFmtId="0" fontId="64" fillId="0" borderId="0" xfId="0" applyFont="1" applyAlignment="1">
      <alignment horizontal="left" vertical="top" wrapText="1"/>
    </xf>
    <xf numFmtId="0" fontId="64" fillId="0" borderId="0" xfId="0" applyFont="1" applyAlignment="1">
      <alignment horizontal="left" vertical="top"/>
    </xf>
    <xf numFmtId="0" fontId="64" fillId="0" borderId="0" xfId="0" applyFont="1" applyAlignment="1">
      <alignment horizontal="left"/>
    </xf>
    <xf numFmtId="0" fontId="116" fillId="0" borderId="0" xfId="0" applyFont="1" applyAlignment="1">
      <alignment horizontal="left" vertical="center" wrapText="1"/>
    </xf>
    <xf numFmtId="0" fontId="116" fillId="0" borderId="0" xfId="0" applyFont="1" applyAlignment="1">
      <alignment horizontal="left" vertical="top" wrapText="1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92" fillId="0" borderId="0" xfId="81" applyFont="1" applyFill="1" applyBorder="1" applyAlignment="1" applyProtection="1">
      <alignment horizontal="left" vertical="center" wrapText="1"/>
      <protection locked="0"/>
    </xf>
    <xf numFmtId="0" fontId="61" fillId="0" borderId="0" xfId="81" applyFont="1" applyFill="1" applyBorder="1" applyAlignment="1">
      <alignment horizontal="center" vertical="top" wrapText="1"/>
    </xf>
  </cellXfs>
  <cellStyles count="162">
    <cellStyle name="%" xfId="10" xr:uid="{00000000-0005-0000-0000-000000000000}"/>
    <cellStyle name="0,0_x000d__x000a_NA_x000d__x000a_" xfId="15" xr:uid="{00000000-0005-0000-0000-000001000000}"/>
    <cellStyle name="'000" xfId="16" xr:uid="{00000000-0005-0000-0000-000002000000}"/>
    <cellStyle name="Asterisk" xfId="17" xr:uid="{00000000-0005-0000-0000-000003000000}"/>
    <cellStyle name="Blue" xfId="18" xr:uid="{00000000-0005-0000-0000-000004000000}"/>
    <cellStyle name="Border" xfId="19" xr:uid="{00000000-0005-0000-0000-000005000000}"/>
    <cellStyle name="Comma [0]_KIS_FA_Itemized" xfId="20" xr:uid="{00000000-0005-0000-0000-000006000000}"/>
    <cellStyle name="Comma_CDMA elimination" xfId="21" xr:uid="{00000000-0005-0000-0000-000007000000}"/>
    <cellStyle name="Date" xfId="22" xr:uid="{00000000-0005-0000-0000-000008000000}"/>
    <cellStyle name="Dezimal [0]_1380" xfId="23" xr:uid="{00000000-0005-0000-0000-000009000000}"/>
    <cellStyle name="Dezimal_1380" xfId="24" xr:uid="{00000000-0005-0000-0000-00000A000000}"/>
    <cellStyle name="Dif" xfId="25" xr:uid="{00000000-0005-0000-0000-00000B000000}"/>
    <cellStyle name="Estimated" xfId="26" xr:uid="{00000000-0005-0000-0000-00000C000000}"/>
    <cellStyle name="Excel Built-in Normal" xfId="27" xr:uid="{00000000-0005-0000-0000-00000D000000}"/>
    <cellStyle name="Excel_BuiltIn_Обычный 10" xfId="85" xr:uid="{00000000-0005-0000-0000-00000E000000}"/>
    <cellStyle name="Fig" xfId="28" xr:uid="{00000000-0005-0000-0000-00000F000000}"/>
    <cellStyle name="GrayBG" xfId="29" xr:uid="{00000000-0005-0000-0000-000010000000}"/>
    <cellStyle name="Grey" xfId="30" xr:uid="{00000000-0005-0000-0000-000011000000}"/>
    <cellStyle name="Head" xfId="31" xr:uid="{00000000-0005-0000-0000-000012000000}"/>
    <cellStyle name="Head0" xfId="32" xr:uid="{00000000-0005-0000-0000-000013000000}"/>
    <cellStyle name="Head1" xfId="33" xr:uid="{00000000-0005-0000-0000-000014000000}"/>
    <cellStyle name="Head2" xfId="34" xr:uid="{00000000-0005-0000-0000-000015000000}"/>
    <cellStyle name="Header" xfId="35" xr:uid="{00000000-0005-0000-0000-000016000000}"/>
    <cellStyle name="Heading" xfId="86" xr:uid="{00000000-0005-0000-0000-000017000000}"/>
    <cellStyle name="Heading 1" xfId="87" xr:uid="{00000000-0005-0000-0000-000018000000}"/>
    <cellStyle name="Heading 2" xfId="88" xr:uid="{00000000-0005-0000-0000-000019000000}"/>
    <cellStyle name="Heading1" xfId="89" xr:uid="{00000000-0005-0000-0000-00001A000000}"/>
    <cellStyle name="Heading1 1" xfId="90" xr:uid="{00000000-0005-0000-0000-00001B000000}"/>
    <cellStyle name="Heading1 2" xfId="91" xr:uid="{00000000-0005-0000-0000-00001C000000}"/>
    <cellStyle name="Headline II" xfId="36" xr:uid="{00000000-0005-0000-0000-00001D000000}"/>
    <cellStyle name="Hide" xfId="37" xr:uid="{00000000-0005-0000-0000-00001E000000}"/>
    <cellStyle name="Input" xfId="38" xr:uid="{00000000-0005-0000-0000-00001F000000}"/>
    <cellStyle name="Input [yellow]" xfId="39" xr:uid="{00000000-0005-0000-0000-000020000000}"/>
    <cellStyle name="input_Arh_Br FS Actual 04" xfId="40" xr:uid="{00000000-0005-0000-0000-000021000000}"/>
    <cellStyle name="Kilo" xfId="41" xr:uid="{00000000-0005-0000-0000-000022000000}"/>
    <cellStyle name="kUSD" xfId="42" xr:uid="{00000000-0005-0000-0000-000023000000}"/>
    <cellStyle name="Lev 1" xfId="43" xr:uid="{00000000-0005-0000-0000-000024000000}"/>
    <cellStyle name="Lev 2" xfId="44" xr:uid="{00000000-0005-0000-0000-000025000000}"/>
    <cellStyle name="Lev 3" xfId="45" xr:uid="{00000000-0005-0000-0000-000026000000}"/>
    <cellStyle name="LightBG" xfId="46" xr:uid="{00000000-0005-0000-0000-000027000000}"/>
    <cellStyle name="Model" xfId="47" xr:uid="{00000000-0005-0000-0000-000028000000}"/>
    <cellStyle name="Multiline" xfId="48" xr:uid="{00000000-0005-0000-0000-000029000000}"/>
    <cellStyle name="no dec" xfId="49" xr:uid="{00000000-0005-0000-0000-00002A000000}"/>
    <cellStyle name="norm" xfId="50" xr:uid="{00000000-0005-0000-0000-00002B000000}"/>
    <cellStyle name="Normal - Style1" xfId="51" xr:uid="{00000000-0005-0000-0000-00002C000000}"/>
    <cellStyle name="Normal_2007_1026_Budget 2008_region_wo Payroll_wo Res_edit" xfId="7" xr:uid="{00000000-0005-0000-0000-00002D000000}"/>
    <cellStyle name="normбlnм_laroux" xfId="52" xr:uid="{00000000-0005-0000-0000-00002E000000}"/>
    <cellStyle name="Note" xfId="53" xr:uid="{00000000-0005-0000-0000-00002F000000}"/>
    <cellStyle name="Option" xfId="54" xr:uid="{00000000-0005-0000-0000-000030000000}"/>
    <cellStyle name="Percent [2]" xfId="55" xr:uid="{00000000-0005-0000-0000-000031000000}"/>
    <cellStyle name="PillarData" xfId="56" xr:uid="{00000000-0005-0000-0000-000032000000}"/>
    <cellStyle name="PillarHeading" xfId="57" xr:uid="{00000000-0005-0000-0000-000033000000}"/>
    <cellStyle name="PillarText" xfId="58" xr:uid="{00000000-0005-0000-0000-000034000000}"/>
    <cellStyle name="Prosent_DS" xfId="59" xr:uid="{00000000-0005-0000-0000-000035000000}"/>
    <cellStyle name="Result" xfId="92" xr:uid="{00000000-0005-0000-0000-000036000000}"/>
    <cellStyle name="Result 1" xfId="93" xr:uid="{00000000-0005-0000-0000-000037000000}"/>
    <cellStyle name="Result 2" xfId="94" xr:uid="{00000000-0005-0000-0000-000038000000}"/>
    <cellStyle name="Result2" xfId="95" xr:uid="{00000000-0005-0000-0000-000039000000}"/>
    <cellStyle name="Result2 1" xfId="96" xr:uid="{00000000-0005-0000-0000-00003A000000}"/>
    <cellStyle name="Result2 2" xfId="97" xr:uid="{00000000-0005-0000-0000-00003B000000}"/>
    <cellStyle name="S4" xfId="98" xr:uid="{00000000-0005-0000-0000-00003C000000}"/>
    <cellStyle name="S5" xfId="99" xr:uid="{00000000-0005-0000-0000-00003D000000}"/>
    <cellStyle name="S6" xfId="100" xr:uid="{00000000-0005-0000-0000-00003E000000}"/>
    <cellStyle name="S7" xfId="101" xr:uid="{00000000-0005-0000-0000-00003F000000}"/>
    <cellStyle name="S8" xfId="102" xr:uid="{00000000-0005-0000-0000-000040000000}"/>
    <cellStyle name="S9" xfId="103" xr:uid="{00000000-0005-0000-0000-000041000000}"/>
    <cellStyle name="Selected" xfId="60" xr:uid="{00000000-0005-0000-0000-000042000000}"/>
    <cellStyle name="Standard_LINE TERMINALS" xfId="61" xr:uid="{00000000-0005-0000-0000-000043000000}"/>
    <cellStyle name="SubHead" xfId="62" xr:uid="{00000000-0005-0000-0000-000044000000}"/>
    <cellStyle name="SubHead1" xfId="63" xr:uid="{00000000-0005-0000-0000-000045000000}"/>
    <cellStyle name="SubHead1t" xfId="64" xr:uid="{00000000-0005-0000-0000-000046000000}"/>
    <cellStyle name="TableStyleLight1" xfId="65" xr:uid="{00000000-0005-0000-0000-000047000000}"/>
    <cellStyle name="Tausender" xfId="66" xr:uid="{00000000-0005-0000-0000-000048000000}"/>
    <cellStyle name="Thousand" xfId="67" xr:uid="{00000000-0005-0000-0000-000049000000}"/>
    <cellStyle name="Title" xfId="68" xr:uid="{00000000-0005-0000-0000-00004A000000}"/>
    <cellStyle name="Total1" xfId="69" xr:uid="{00000000-0005-0000-0000-00004B000000}"/>
    <cellStyle name="Tusenskille [0]_DS" xfId="70" xr:uid="{00000000-0005-0000-0000-00004C000000}"/>
    <cellStyle name="Tusenskille_DS" xfId="71" xr:uid="{00000000-0005-0000-0000-00004D000000}"/>
    <cellStyle name="Überschrift 1" xfId="72" xr:uid="{00000000-0005-0000-0000-00004E000000}"/>
    <cellStyle name="Überschrift 2" xfId="73" xr:uid="{00000000-0005-0000-0000-00004F000000}"/>
    <cellStyle name="Überschrift 3" xfId="74" xr:uid="{00000000-0005-0000-0000-000050000000}"/>
    <cellStyle name="Unit" xfId="75" xr:uid="{00000000-0005-0000-0000-000051000000}"/>
    <cellStyle name="USD" xfId="76" xr:uid="{00000000-0005-0000-0000-000052000000}"/>
    <cellStyle name="Valuta [0]_DS" xfId="77" xr:uid="{00000000-0005-0000-0000-000053000000}"/>
    <cellStyle name="Valuta_DS" xfId="78" xr:uid="{00000000-0005-0000-0000-000054000000}"/>
    <cellStyle name="Währung [0]_1380" xfId="79" xr:uid="{00000000-0005-0000-0000-000055000000}"/>
    <cellStyle name="Währung_1380" xfId="80" xr:uid="{00000000-0005-0000-0000-000056000000}"/>
    <cellStyle name="Гиперссылка 2" xfId="6" xr:uid="{00000000-0005-0000-0000-000057000000}"/>
    <cellStyle name="Гиперссылка 2 2" xfId="104" xr:uid="{00000000-0005-0000-0000-000058000000}"/>
    <cellStyle name="Гиперссылка 3" xfId="105" xr:uid="{00000000-0005-0000-0000-000059000000}"/>
    <cellStyle name="Гиперссылка 3 2" xfId="106" xr:uid="{00000000-0005-0000-0000-00005A000000}"/>
    <cellStyle name="Гиперссылка 4" xfId="107" xr:uid="{00000000-0005-0000-0000-00005B000000}"/>
    <cellStyle name="Гиперссылка 4 2" xfId="108" xr:uid="{00000000-0005-0000-0000-00005C000000}"/>
    <cellStyle name="Гиперссылка 5" xfId="109" xr:uid="{00000000-0005-0000-0000-00005D000000}"/>
    <cellStyle name="Заголовок 1" xfId="155" builtinId="16"/>
    <cellStyle name="Обычный" xfId="0" builtinId="0"/>
    <cellStyle name="Обычный 14" xfId="159" xr:uid="{2383DE22-A905-4F20-ABF3-7BD78ED30FFD}"/>
    <cellStyle name="Обычный 16" xfId="156" xr:uid="{00000000-0005-0000-0000-000060000000}"/>
    <cellStyle name="Обычный 2" xfId="3" xr:uid="{00000000-0005-0000-0000-000061000000}"/>
    <cellStyle name="Обычный 2 2" xfId="81" xr:uid="{00000000-0005-0000-0000-000062000000}"/>
    <cellStyle name="Обычный 2 2 2" xfId="137" xr:uid="{00000000-0005-0000-0000-000063000000}"/>
    <cellStyle name="Обычный 2 2 3" xfId="110" xr:uid="{00000000-0005-0000-0000-000064000000}"/>
    <cellStyle name="Обычный 2 2 4" xfId="141" xr:uid="{00000000-0005-0000-0000-000065000000}"/>
    <cellStyle name="Обычный 2 2 4 2" xfId="153" xr:uid="{00000000-0005-0000-0000-000066000000}"/>
    <cellStyle name="Обычный 2 2 5" xfId="149" xr:uid="{00000000-0005-0000-0000-000067000000}"/>
    <cellStyle name="Обычный 2 3" xfId="111" xr:uid="{00000000-0005-0000-0000-000068000000}"/>
    <cellStyle name="Обычный 2 3 2" xfId="139" xr:uid="{00000000-0005-0000-0000-000069000000}"/>
    <cellStyle name="Обычный 2 3 2 2" xfId="151" xr:uid="{00000000-0005-0000-0000-00006A000000}"/>
    <cellStyle name="Обычный 2 4" xfId="143" xr:uid="{00000000-0005-0000-0000-00006B000000}"/>
    <cellStyle name="Обычный 20" xfId="161" xr:uid="{D24878DA-9176-424C-A99F-1D8C0D3A61CE}"/>
    <cellStyle name="Обычный 25 2" xfId="112" xr:uid="{00000000-0005-0000-0000-00006C000000}"/>
    <cellStyle name="Обычный 26 2" xfId="113" xr:uid="{00000000-0005-0000-0000-00006D000000}"/>
    <cellStyle name="Обычный 3" xfId="13" xr:uid="{00000000-0005-0000-0000-00006E000000}"/>
    <cellStyle name="Обычный 3 2" xfId="114" xr:uid="{00000000-0005-0000-0000-00006F000000}"/>
    <cellStyle name="Обычный 3 3" xfId="115" xr:uid="{00000000-0005-0000-0000-000070000000}"/>
    <cellStyle name="Обычный 3 4" xfId="116" xr:uid="{00000000-0005-0000-0000-000071000000}"/>
    <cellStyle name="Обычный 4" xfId="5" xr:uid="{00000000-0005-0000-0000-000072000000}"/>
    <cellStyle name="Обычный 4 2" xfId="117" xr:uid="{00000000-0005-0000-0000-000073000000}"/>
    <cellStyle name="Обычный 5" xfId="14" xr:uid="{00000000-0005-0000-0000-000074000000}"/>
    <cellStyle name="Обычный 5 2" xfId="118" xr:uid="{00000000-0005-0000-0000-000075000000}"/>
    <cellStyle name="Обычный 5 3" xfId="138" xr:uid="{00000000-0005-0000-0000-000076000000}"/>
    <cellStyle name="Обычный 5 4" xfId="148" xr:uid="{00000000-0005-0000-0000-000077000000}"/>
    <cellStyle name="Обычный 6" xfId="119" xr:uid="{00000000-0005-0000-0000-000078000000}"/>
    <cellStyle name="Обычный 6 2" xfId="120" xr:uid="{00000000-0005-0000-0000-000079000000}"/>
    <cellStyle name="Обычный 7" xfId="121" xr:uid="{00000000-0005-0000-0000-00007A000000}"/>
    <cellStyle name="Обычный 8" xfId="122" xr:uid="{00000000-0005-0000-0000-00007B000000}"/>
    <cellStyle name="Обычный 9" xfId="123" xr:uid="{00000000-0005-0000-0000-00007C000000}"/>
    <cellStyle name="Обычный_Cent_Belg" xfId="9" xr:uid="{00000000-0005-0000-0000-00007D000000}"/>
    <cellStyle name="Обычный_Три-З ДЦ" xfId="2" xr:uid="{00000000-0005-0000-0000-00007E000000}"/>
    <cellStyle name="Пояснение 2" xfId="158" xr:uid="{00000000-0005-0000-0000-00007F000000}"/>
    <cellStyle name="Пояснение 3" xfId="157" xr:uid="{00000000-0005-0000-0000-000080000000}"/>
    <cellStyle name="Процентный" xfId="1" builtinId="5"/>
    <cellStyle name="Процентный 16" xfId="160" xr:uid="{9207E4F5-C8B8-4F1E-BC1C-EACA2EAA7DE9}"/>
    <cellStyle name="Процентный 2" xfId="4" xr:uid="{00000000-0005-0000-0000-000082000000}"/>
    <cellStyle name="Процентный 2 2" xfId="124" xr:uid="{00000000-0005-0000-0000-000083000000}"/>
    <cellStyle name="Процентный 2 3" xfId="136" xr:uid="{00000000-0005-0000-0000-000084000000}"/>
    <cellStyle name="Процентный 2 3 2" xfId="150" xr:uid="{00000000-0005-0000-0000-000085000000}"/>
    <cellStyle name="Процентный 2 4" xfId="142" xr:uid="{00000000-0005-0000-0000-000086000000}"/>
    <cellStyle name="Процентный 2 4 2" xfId="154" xr:uid="{00000000-0005-0000-0000-000087000000}"/>
    <cellStyle name="Процентный 2 5" xfId="144" xr:uid="{00000000-0005-0000-0000-000088000000}"/>
    <cellStyle name="Процентный 3" xfId="11" xr:uid="{00000000-0005-0000-0000-000089000000}"/>
    <cellStyle name="Процентный 3 2" xfId="125" xr:uid="{00000000-0005-0000-0000-00008A000000}"/>
    <cellStyle name="Процентный 3 3" xfId="146" xr:uid="{00000000-0005-0000-0000-00008B000000}"/>
    <cellStyle name="Процентный 4" xfId="126" xr:uid="{00000000-0005-0000-0000-00008C000000}"/>
    <cellStyle name="Процентный 4 2" xfId="127" xr:uid="{00000000-0005-0000-0000-00008D000000}"/>
    <cellStyle name="Процентный 5" xfId="128" xr:uid="{00000000-0005-0000-0000-00008E000000}"/>
    <cellStyle name="Процентный 6" xfId="129" xr:uid="{00000000-0005-0000-0000-00008F000000}"/>
    <cellStyle name="Процентный 7" xfId="130" xr:uid="{00000000-0005-0000-0000-000090000000}"/>
    <cellStyle name="Процентный 8" xfId="131" xr:uid="{00000000-0005-0000-0000-000091000000}"/>
    <cellStyle name="Стиль 1" xfId="82" xr:uid="{00000000-0005-0000-0000-000092000000}"/>
    <cellStyle name="Тысячи [0]_Admin BSheet" xfId="83" xr:uid="{00000000-0005-0000-0000-000093000000}"/>
    <cellStyle name="Тысячи_Admin BSheet" xfId="84" xr:uid="{00000000-0005-0000-0000-000094000000}"/>
    <cellStyle name="Финансовый" xfId="140" builtinId="3"/>
    <cellStyle name="Финансовый 2" xfId="8" xr:uid="{00000000-0005-0000-0000-000096000000}"/>
    <cellStyle name="Финансовый 2 2" xfId="145" xr:uid="{00000000-0005-0000-0000-000097000000}"/>
    <cellStyle name="Финансовый 3" xfId="132" xr:uid="{00000000-0005-0000-0000-000098000000}"/>
    <cellStyle name="Финансовый 4" xfId="133" xr:uid="{00000000-0005-0000-0000-000099000000}"/>
    <cellStyle name="Финансовый 5" xfId="134" xr:uid="{00000000-0005-0000-0000-00009A000000}"/>
    <cellStyle name="Финансовый 6" xfId="135" xr:uid="{00000000-0005-0000-0000-00009B000000}"/>
    <cellStyle name="Финансовый 7" xfId="152" xr:uid="{00000000-0005-0000-0000-00009C000000}"/>
    <cellStyle name="Финансовый 8" xfId="12" xr:uid="{00000000-0005-0000-0000-00009D000000}"/>
    <cellStyle name="Финансовый 8 2" xfId="147" xr:uid="{00000000-0005-0000-0000-00009E000000}"/>
  </cellStyles>
  <dxfs count="211"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6" formatCode="_-* #,##0.00_р_._-;\-* #,##0.00_р_._-;_-* &quot;-&quot;??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  <dxf>
      <numFmt numFmtId="165" formatCode="_-* #,##0_р_._-;\-* #,##0_р_._-;_-* &quot;-&quot;_р_._-;_-@_-"/>
    </dxf>
  </dxfs>
  <tableStyles count="0" defaultTableStyle="TableStyleMedium2" defaultPivotStyle="PivotStyleLight16"/>
  <colors>
    <mruColors>
      <color rgb="FFCCFFCC"/>
      <color rgb="FFFFFFE1"/>
      <color rgb="FFFFFFCC"/>
      <color rgb="FFCCCCFF"/>
      <color rgb="FFCCFFFF"/>
      <color rgb="FFEFEFFF"/>
      <color rgb="FFFF99CC"/>
      <color rgb="FF99CCFF"/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5181885671864E-2"/>
          <c:y val="3.4591186403410489E-2"/>
          <c:w val="0.69787208670185719"/>
          <c:h val="0.892458304249417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Total_fin!$H$28</c:f>
              <c:strCache>
                <c:ptCount val="1"/>
                <c:pt idx="0">
                  <c:v>Диагностика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Total_fin!$I$27:$L$27</c15:sqref>
                  </c15:fullRef>
                </c:ext>
              </c:extLst>
              <c:f>Total_fin!$I$27:$K$27</c:f>
              <c:strCache>
                <c:ptCount val="3"/>
                <c:pt idx="0">
                  <c:v>1y</c:v>
                </c:pt>
                <c:pt idx="1">
                  <c:v>2y</c:v>
                </c:pt>
                <c:pt idx="2">
                  <c:v>3y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Total_fin!$I$28:$L$28</c15:sqref>
                  </c15:fullRef>
                </c:ext>
              </c:extLst>
              <c:f>Total_fin!$I$28:$K$28</c:f>
              <c:numCache>
                <c:formatCode>#,##0</c:formatCode>
                <c:ptCount val="3"/>
                <c:pt idx="0">
                  <c:v>15479.1</c:v>
                </c:pt>
                <c:pt idx="1">
                  <c:v>34054.019999999997</c:v>
                </c:pt>
                <c:pt idx="2">
                  <c:v>36673.56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5-46AA-BBA3-099992CB06D7}"/>
            </c:ext>
          </c:extLst>
        </c:ser>
        <c:ser>
          <c:idx val="1"/>
          <c:order val="1"/>
          <c:tx>
            <c:strRef>
              <c:f>Total_fin!$H$29</c:f>
              <c:strCache>
                <c:ptCount val="1"/>
                <c:pt idx="0">
                  <c:v>Катаракта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Total_fin!$I$27:$L$27</c15:sqref>
                  </c15:fullRef>
                </c:ext>
              </c:extLst>
              <c:f>Total_fin!$I$27:$K$27</c:f>
              <c:strCache>
                <c:ptCount val="3"/>
                <c:pt idx="0">
                  <c:v>1y</c:v>
                </c:pt>
                <c:pt idx="1">
                  <c:v>2y</c:v>
                </c:pt>
                <c:pt idx="2">
                  <c:v>3y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Total_fin!$I$29:$L$29</c15:sqref>
                  </c15:fullRef>
                </c:ext>
              </c:extLst>
              <c:f>Total_fin!$I$29:$K$29</c:f>
              <c:numCache>
                <c:formatCode>#,##0</c:formatCode>
                <c:ptCount val="3"/>
                <c:pt idx="0">
                  <c:v>66646</c:v>
                </c:pt>
                <c:pt idx="1">
                  <c:v>156000</c:v>
                </c:pt>
                <c:pt idx="2">
                  <c:v>209880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5-46AA-BBA3-099992CB06D7}"/>
            </c:ext>
          </c:extLst>
        </c:ser>
        <c:ser>
          <c:idx val="2"/>
          <c:order val="2"/>
          <c:tx>
            <c:strRef>
              <c:f>Total_fin!$H$30</c:f>
              <c:strCache>
                <c:ptCount val="1"/>
                <c:pt idx="0">
                  <c:v>Эксимер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Total_fin!$I$27:$L$27</c15:sqref>
                  </c15:fullRef>
                </c:ext>
              </c:extLst>
              <c:f>Total_fin!$I$27:$K$27</c:f>
              <c:strCache>
                <c:ptCount val="3"/>
                <c:pt idx="0">
                  <c:v>1y</c:v>
                </c:pt>
                <c:pt idx="1">
                  <c:v>2y</c:v>
                </c:pt>
                <c:pt idx="2">
                  <c:v>3y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Total_fin!$I$30:$L$30</c15:sqref>
                  </c15:fullRef>
                </c:ext>
              </c:extLst>
              <c:f>Total_fin!$I$30:$K$30</c:f>
              <c:numCache>
                <c:formatCode>#,##0</c:formatCode>
                <c:ptCount val="3"/>
                <c:pt idx="0">
                  <c:v>103350</c:v>
                </c:pt>
                <c:pt idx="1">
                  <c:v>260400</c:v>
                </c:pt>
                <c:pt idx="2">
                  <c:v>361620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5-46AA-BBA3-099992CB06D7}"/>
            </c:ext>
          </c:extLst>
        </c:ser>
        <c:ser>
          <c:idx val="3"/>
          <c:order val="3"/>
          <c:tx>
            <c:strRef>
              <c:f>Total_fin!$H$31</c:f>
              <c:strCache>
                <c:ptCount val="1"/>
                <c:pt idx="0">
                  <c:v>Витрео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Total_fin!$I$27:$L$27</c15:sqref>
                  </c15:fullRef>
                </c:ext>
              </c:extLst>
              <c:f>Total_fin!$I$27:$K$27</c:f>
              <c:strCache>
                <c:ptCount val="3"/>
                <c:pt idx="0">
                  <c:v>1y</c:v>
                </c:pt>
                <c:pt idx="1">
                  <c:v>2y</c:v>
                </c:pt>
                <c:pt idx="2">
                  <c:v>3y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Total_fin!$I$31:$L$31</c15:sqref>
                  </c15:fullRef>
                </c:ext>
              </c:extLst>
              <c:f>Total_fin!$I$31:$K$31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75-46AA-BBA3-099992CB06D7}"/>
            </c:ext>
          </c:extLst>
        </c:ser>
        <c:ser>
          <c:idx val="4"/>
          <c:order val="4"/>
          <c:tx>
            <c:strRef>
              <c:f>Total_fin!$H$32</c:f>
              <c:strCache>
                <c:ptCount val="1"/>
                <c:pt idx="0">
                  <c:v>Пресбиопия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Total_fin!$I$27:$L$27</c15:sqref>
                  </c15:fullRef>
                </c:ext>
              </c:extLst>
              <c:f>Total_fin!$I$27:$K$27</c:f>
              <c:strCache>
                <c:ptCount val="3"/>
                <c:pt idx="0">
                  <c:v>1y</c:v>
                </c:pt>
                <c:pt idx="1">
                  <c:v>2y</c:v>
                </c:pt>
                <c:pt idx="2">
                  <c:v>3y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Total_fin!$I$32:$L$32</c15:sqref>
                  </c15:fullRef>
                </c:ext>
              </c:extLst>
              <c:f>Total_fin!$I$32:$K$32</c:f>
              <c:numCache>
                <c:formatCode>#,##0</c:formatCode>
                <c:ptCount val="3"/>
                <c:pt idx="0">
                  <c:v>6885</c:v>
                </c:pt>
                <c:pt idx="1">
                  <c:v>15660</c:v>
                </c:pt>
                <c:pt idx="2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75-46AA-BBA3-099992CB06D7}"/>
            </c:ext>
          </c:extLst>
        </c:ser>
        <c:ser>
          <c:idx val="5"/>
          <c:order val="5"/>
          <c:tx>
            <c:strRef>
              <c:f>Total_fin!$H$33</c:f>
              <c:strCache>
                <c:ptCount val="1"/>
                <c:pt idx="0">
                  <c:v>Лазерное отделение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Total_fin!$I$27:$L$27</c15:sqref>
                  </c15:fullRef>
                </c:ext>
              </c:extLst>
              <c:f>Total_fin!$I$27:$K$27</c:f>
              <c:strCache>
                <c:ptCount val="3"/>
                <c:pt idx="0">
                  <c:v>1y</c:v>
                </c:pt>
                <c:pt idx="1">
                  <c:v>2y</c:v>
                </c:pt>
                <c:pt idx="2">
                  <c:v>3y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Total_fin!$I$33:$L$33</c15:sqref>
                  </c15:fullRef>
                </c:ext>
              </c:extLst>
              <c:f>Total_fin!$I$33:$K$33</c:f>
              <c:numCache>
                <c:formatCode>#,##0</c:formatCode>
                <c:ptCount val="3"/>
                <c:pt idx="0">
                  <c:v>12454.58</c:v>
                </c:pt>
                <c:pt idx="1">
                  <c:v>22446.387999999999</c:v>
                </c:pt>
                <c:pt idx="2">
                  <c:v>24731.328000000001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75-46AA-BBA3-099992CB06D7}"/>
            </c:ext>
          </c:extLst>
        </c:ser>
        <c:ser>
          <c:idx val="6"/>
          <c:order val="6"/>
          <c:tx>
            <c:strRef>
              <c:f>Total_fin!$H$34</c:f>
              <c:strCache>
                <c:ptCount val="1"/>
                <c:pt idx="0">
                  <c:v>Детское отделение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Total_fin!$I$27:$L$27</c15:sqref>
                  </c15:fullRef>
                </c:ext>
              </c:extLst>
              <c:f>Total_fin!$I$27:$K$27</c:f>
              <c:strCache>
                <c:ptCount val="3"/>
                <c:pt idx="0">
                  <c:v>1y</c:v>
                </c:pt>
                <c:pt idx="1">
                  <c:v>2y</c:v>
                </c:pt>
                <c:pt idx="2">
                  <c:v>3y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Total_fin!$I$34:$L$34</c15:sqref>
                  </c15:fullRef>
                </c:ext>
              </c:extLst>
              <c:f>Total_fin!$I$34:$K$34</c:f>
              <c:numCache>
                <c:formatCode>#,##0</c:formatCode>
                <c:ptCount val="3"/>
                <c:pt idx="0">
                  <c:v>4324</c:v>
                </c:pt>
                <c:pt idx="1">
                  <c:v>11880</c:v>
                </c:pt>
                <c:pt idx="2">
                  <c:v>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75-46AA-BBA3-099992CB06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  <c:axId val="1006969568"/>
        <c:axId val="1006970352"/>
      </c:barChart>
      <c:catAx>
        <c:axId val="100696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70352"/>
        <c:crosses val="autoZero"/>
        <c:auto val="1"/>
        <c:lblAlgn val="ctr"/>
        <c:lblOffset val="100"/>
        <c:noMultiLvlLbl val="0"/>
      </c:catAx>
      <c:valAx>
        <c:axId val="10069703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6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809416083568618"/>
          <c:y val="0.10759641809479698"/>
          <c:w val="0.31513436098884073"/>
          <c:h val="0.76912088930060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Cumulative Cash Flow Chart</a:t>
            </a:r>
          </a:p>
          <a:p>
            <a:pPr algn="l">
              <a:defRPr/>
            </a:pPr>
            <a:r>
              <a:rPr lang="en-US"/>
              <a:t>(Payback occurs when line crosses X-Axis)</a:t>
            </a:r>
          </a:p>
        </c:rich>
      </c:tx>
      <c:layout>
        <c:manualLayout>
          <c:xMode val="edge"/>
          <c:yMode val="edge"/>
          <c:x val="1.3277897018943901E-2"/>
          <c:y val="2.49023531506902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67242756429855E-2"/>
          <c:y val="0.33454562082178757"/>
          <c:w val="0.87935656836461129"/>
          <c:h val="0.458181818181818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'Summary_офт-фарма'!$AM$2:$AO$2</c:f>
              <c:strCache>
                <c:ptCount val="3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</c:strCache>
            </c:strRef>
          </c:cat>
          <c:val>
            <c:numRef>
              <c:f>'Summary_офт-фарма'!$AM$22:$AO$22</c:f>
              <c:numCache>
                <c:formatCode>##\ ###\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CC-493D-8DD7-0F095AC87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81720"/>
        <c:axId val="1006982504"/>
      </c:lineChart>
      <c:catAx>
        <c:axId val="100698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06982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6982504"/>
        <c:scaling>
          <c:orientation val="minMax"/>
        </c:scaling>
        <c:delete val="0"/>
        <c:axPos val="l"/>
        <c:numFmt formatCode="##\ ###\ 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006981720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1" l="0.75000000000000711" r="0.750000000000007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Доходы</a:t>
            </a:r>
            <a:r>
              <a:rPr lang="ru-RU" baseline="0"/>
              <a:t> БК Химки </a:t>
            </a:r>
            <a:r>
              <a:rPr lang="en-US" baseline="0"/>
              <a:t>vs </a:t>
            </a:r>
            <a:r>
              <a:rPr lang="ru-RU" baseline="0"/>
              <a:t>Пермь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Доходы_Потенциал!#REF!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Доходы_Потенциал!#REF!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271-46B1-9DB2-6A250856B32A}"/>
            </c:ext>
          </c:extLst>
        </c:ser>
        <c:ser>
          <c:idx val="1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Доходы_Потенциал!#REF!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Доходы_Потенциал!#REF!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271-46B1-9DB2-6A250856B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83288"/>
        <c:axId val="1006975448"/>
      </c:lineChart>
      <c:catAx>
        <c:axId val="100698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75448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00697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8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 доходов Пермь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#ССЫЛКА!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B0-4043-B34C-62791876BC48}"/>
            </c:ext>
          </c:extLst>
        </c:ser>
        <c:ser>
          <c:idx val="1"/>
          <c:order val="1"/>
          <c:tx>
            <c:strRef>
              <c:f>Доходы_Потенциал!#REF!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0-4043-B34C-62791876BC48}"/>
            </c:ext>
          </c:extLst>
        </c:ser>
        <c:ser>
          <c:idx val="2"/>
          <c:order val="2"/>
          <c:tx>
            <c:strRef>
              <c:f>Доходы_Потенциал!#REF!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0-4043-B34C-62791876BC48}"/>
            </c:ext>
          </c:extLst>
        </c:ser>
        <c:ser>
          <c:idx val="3"/>
          <c:order val="3"/>
          <c:tx>
            <c:v>Лазерное отделение</c:v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Lit>
              <c:formatCode>General</c:formatCode>
              <c:ptCount val="3"/>
              <c:pt idx="0">
                <c:v>2784348</c:v>
              </c:pt>
              <c:pt idx="1">
                <c:v>4413301.2000000011</c:v>
              </c:pt>
              <c:pt idx="2">
                <c:v>5802396.2326494316</c:v>
              </c:pt>
            </c:numLit>
          </c:val>
          <c:extLst>
            <c:ext xmlns:c16="http://schemas.microsoft.com/office/drawing/2014/chart" uri="{C3380CC4-5D6E-409C-BE32-E72D297353CC}">
              <c16:uniqueId val="{00000003-5FB0-4043-B34C-62791876B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978192"/>
        <c:axId val="1006978584"/>
      </c:areaChart>
      <c:catAx>
        <c:axId val="100697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78584"/>
        <c:crosses val="autoZero"/>
        <c:auto val="1"/>
        <c:lblAlgn val="ctr"/>
        <c:lblOffset val="100"/>
        <c:noMultiLvlLbl val="0"/>
      </c:catAx>
      <c:valAx>
        <c:axId val="100697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78192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 Доходов</a:t>
            </a:r>
            <a:r>
              <a:rPr lang="ru-RU" baseline="0"/>
              <a:t> </a:t>
            </a:r>
            <a:r>
              <a:rPr lang="ru-RU"/>
              <a:t>Химки</a:t>
            </a:r>
          </a:p>
        </c:rich>
      </c:tx>
      <c:layout>
        <c:manualLayout>
          <c:xMode val="edge"/>
          <c:yMode val="edge"/>
          <c:x val="0.21297315446656701"/>
          <c:y val="3.27198364008180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Катаракта 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Lit>
              <c:formatCode>General</c:formatCode>
              <c:ptCount val="3"/>
              <c:pt idx="0">
                <c:v>17363009.663999997</c:v>
              </c:pt>
              <c:pt idx="1">
                <c:v>32628252.810384009</c:v>
              </c:pt>
              <c:pt idx="2">
                <c:v>45838241.953687735</c:v>
              </c:pt>
            </c:numLit>
          </c:val>
          <c:extLst>
            <c:ext xmlns:c16="http://schemas.microsoft.com/office/drawing/2014/chart" uri="{C3380CC4-5D6E-409C-BE32-E72D297353CC}">
              <c16:uniqueId val="{00000000-8384-4A63-B30A-57CE9460510A}"/>
            </c:ext>
          </c:extLst>
        </c:ser>
        <c:ser>
          <c:idx val="1"/>
          <c:order val="1"/>
          <c:tx>
            <c:strRef>
              <c:f>Доходы_Потенциал!#REF!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4-4A63-B30A-57CE9460510A}"/>
            </c:ext>
          </c:extLst>
        </c:ser>
        <c:ser>
          <c:idx val="2"/>
          <c:order val="2"/>
          <c:tx>
            <c:v>Диагностика 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Lit>
              <c:formatCode>General</c:formatCode>
              <c:ptCount val="3"/>
              <c:pt idx="0">
                <c:v>4114800</c:v>
              </c:pt>
              <c:pt idx="1">
                <c:v>5969700</c:v>
              </c:pt>
              <c:pt idx="2">
                <c:v>7795427.0926772468</c:v>
              </c:pt>
            </c:numLit>
          </c:val>
          <c:extLst>
            <c:ext xmlns:c16="http://schemas.microsoft.com/office/drawing/2014/chart" uri="{C3380CC4-5D6E-409C-BE32-E72D297353CC}">
              <c16:uniqueId val="{00000002-8384-4A63-B30A-57CE9460510A}"/>
            </c:ext>
          </c:extLst>
        </c:ser>
        <c:ser>
          <c:idx val="3"/>
          <c:order val="3"/>
          <c:tx>
            <c:strRef>
              <c:f>Доходы_Потенциал!#REF!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84-4A63-B30A-57CE94605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978976"/>
        <c:axId val="1006984072"/>
      </c:areaChart>
      <c:catAx>
        <c:axId val="10069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84072"/>
        <c:crosses val="autoZero"/>
        <c:auto val="1"/>
        <c:lblAlgn val="ctr"/>
        <c:lblOffset val="100"/>
        <c:noMultiLvlLbl val="0"/>
      </c:catAx>
      <c:valAx>
        <c:axId val="100698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78976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Доходы</a:t>
            </a:r>
            <a:r>
              <a:rPr lang="ru-RU" baseline="0"/>
              <a:t> БК Химки </a:t>
            </a:r>
            <a:r>
              <a:rPr lang="en-US" baseline="0"/>
              <a:t>vs </a:t>
            </a:r>
            <a:r>
              <a:rPr lang="ru-RU" baseline="0"/>
              <a:t>Пермь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Доходы_Потенциал!#REF!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Доходы_Потенциал!#REF!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373-4B14-B4C2-0E99CC5C6C17}"/>
            </c:ext>
          </c:extLst>
        </c:ser>
        <c:ser>
          <c:idx val="1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Доходы_Потенциал!#REF!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Доходы_Потенциал!#REF!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373-4B14-B4C2-0E99CC5C6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84856"/>
        <c:axId val="1006985640"/>
      </c:lineChart>
      <c:catAx>
        <c:axId val="100698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85640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00698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8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 доходов Пермь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#ССЫЛКА!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8A-44BF-89A1-BD9C09FF238C}"/>
            </c:ext>
          </c:extLst>
        </c:ser>
        <c:ser>
          <c:idx val="1"/>
          <c:order val="1"/>
          <c:tx>
            <c:strRef>
              <c:f>Доходы_Потенциал!#REF!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A-44BF-89A1-BD9C09FF238C}"/>
            </c:ext>
          </c:extLst>
        </c:ser>
        <c:ser>
          <c:idx val="2"/>
          <c:order val="2"/>
          <c:tx>
            <c:strRef>
              <c:f>Доходы_Потенциал!#REF!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A-44BF-89A1-BD9C09FF238C}"/>
            </c:ext>
          </c:extLst>
        </c:ser>
        <c:ser>
          <c:idx val="3"/>
          <c:order val="3"/>
          <c:tx>
            <c:v>Лазерное отделение</c:v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Lit>
              <c:formatCode>General</c:formatCode>
              <c:ptCount val="3"/>
              <c:pt idx="0">
                <c:v>2784348</c:v>
              </c:pt>
              <c:pt idx="1">
                <c:v>4413301.2000000011</c:v>
              </c:pt>
              <c:pt idx="2">
                <c:v>5802396.2326494316</c:v>
              </c:pt>
            </c:numLit>
          </c:val>
          <c:extLst>
            <c:ext xmlns:c16="http://schemas.microsoft.com/office/drawing/2014/chart" uri="{C3380CC4-5D6E-409C-BE32-E72D297353CC}">
              <c16:uniqueId val="{00000003-7B8A-44BF-89A1-BD9C09FF2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986032"/>
        <c:axId val="1006975840"/>
      </c:areaChart>
      <c:catAx>
        <c:axId val="100698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75840"/>
        <c:crosses val="autoZero"/>
        <c:auto val="1"/>
        <c:lblAlgn val="ctr"/>
        <c:lblOffset val="100"/>
        <c:noMultiLvlLbl val="0"/>
      </c:catAx>
      <c:valAx>
        <c:axId val="10069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86032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 Доходов</a:t>
            </a:r>
            <a:r>
              <a:rPr lang="ru-RU" baseline="0"/>
              <a:t> </a:t>
            </a:r>
            <a:r>
              <a:rPr lang="ru-RU"/>
              <a:t>Химки</a:t>
            </a:r>
          </a:p>
        </c:rich>
      </c:tx>
      <c:layout>
        <c:manualLayout>
          <c:xMode val="edge"/>
          <c:yMode val="edge"/>
          <c:x val="0.21297315446656701"/>
          <c:y val="3.27198364008180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Катаракта 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Lit>
              <c:formatCode>General</c:formatCode>
              <c:ptCount val="3"/>
              <c:pt idx="0">
                <c:v>17363009.663999997</c:v>
              </c:pt>
              <c:pt idx="1">
                <c:v>32628252.810384009</c:v>
              </c:pt>
              <c:pt idx="2">
                <c:v>45838241.953687735</c:v>
              </c:pt>
            </c:numLit>
          </c:val>
          <c:extLst>
            <c:ext xmlns:c16="http://schemas.microsoft.com/office/drawing/2014/chart" uri="{C3380CC4-5D6E-409C-BE32-E72D297353CC}">
              <c16:uniqueId val="{00000000-D445-467E-BF03-7AAE04B47337}"/>
            </c:ext>
          </c:extLst>
        </c:ser>
        <c:ser>
          <c:idx val="1"/>
          <c:order val="1"/>
          <c:tx>
            <c:strRef>
              <c:f>Доходы_Потенциал!#REF!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5-467E-BF03-7AAE04B47337}"/>
            </c:ext>
          </c:extLst>
        </c:ser>
        <c:ser>
          <c:idx val="2"/>
          <c:order val="2"/>
          <c:tx>
            <c:v>Диагностика 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Lit>
              <c:formatCode>General</c:formatCode>
              <c:ptCount val="3"/>
              <c:pt idx="0">
                <c:v>4114800</c:v>
              </c:pt>
              <c:pt idx="1">
                <c:v>5969700</c:v>
              </c:pt>
              <c:pt idx="2">
                <c:v>7795427.0926772468</c:v>
              </c:pt>
            </c:numLit>
          </c:val>
          <c:extLst>
            <c:ext xmlns:c16="http://schemas.microsoft.com/office/drawing/2014/chart" uri="{C3380CC4-5D6E-409C-BE32-E72D297353CC}">
              <c16:uniqueId val="{00000002-D445-467E-BF03-7AAE04B47337}"/>
            </c:ext>
          </c:extLst>
        </c:ser>
        <c:ser>
          <c:idx val="3"/>
          <c:order val="3"/>
          <c:tx>
            <c:strRef>
              <c:f>Доходы_Потенциал!#REF!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Lit>
              <c:ptCount val="3"/>
              <c:pt idx="0">
                <c:v>1год</c:v>
              </c:pt>
              <c:pt idx="1">
                <c:v>2 год</c:v>
              </c:pt>
              <c:pt idx="2">
                <c:v>3 год</c:v>
              </c:pt>
            </c:strLit>
          </c:cat>
          <c:val>
            <c:numRef>
              <c:f>Доходы_Потенциал!#REF!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45-467E-BF03-7AAE04B47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976624"/>
        <c:axId val="1006977016"/>
      </c:areaChart>
      <c:catAx>
        <c:axId val="100697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77016"/>
        <c:crosses val="autoZero"/>
        <c:auto val="1"/>
        <c:lblAlgn val="ctr"/>
        <c:lblOffset val="100"/>
        <c:noMultiLvlLbl val="0"/>
      </c:catAx>
      <c:valAx>
        <c:axId val="100697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6976624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Cumulative Cash Flow Chart</a:t>
            </a:r>
          </a:p>
          <a:p>
            <a:pPr algn="l">
              <a:defRPr/>
            </a:pPr>
            <a:r>
              <a:rPr lang="en-US"/>
              <a:t>(Payback occurs when line crosses X-Axis)</a:t>
            </a:r>
          </a:p>
        </c:rich>
      </c:tx>
      <c:layout>
        <c:manualLayout>
          <c:xMode val="edge"/>
          <c:yMode val="edge"/>
          <c:x val="9.1918944914494618E-3"/>
          <c:y val="8.87229622617139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185895241355695E-2"/>
          <c:y val="0.33454567363717247"/>
          <c:w val="0.87935656836461129"/>
          <c:h val="0.458181818181818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'Summary_офт-фарма'!$CD$2:$CF$2</c:f>
              <c:strCache>
                <c:ptCount val="3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</c:strCache>
            </c:strRef>
          </c:cat>
          <c:val>
            <c:numRef>
              <c:f>'Summary_офт-фарма'!$CD$22:$CF$22</c:f>
              <c:numCache>
                <c:formatCode>##\ ###\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E6D-4BF6-A702-F71C9A702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73096"/>
        <c:axId val="1006973488"/>
      </c:lineChart>
      <c:catAx>
        <c:axId val="100697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0697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6973488"/>
        <c:scaling>
          <c:orientation val="minMax"/>
        </c:scaling>
        <c:delete val="0"/>
        <c:axPos val="l"/>
        <c:numFmt formatCode="##\ ###\ " sourceLinked="1"/>
        <c:majorTickMark val="out"/>
        <c:minorTickMark val="none"/>
        <c:tickLblPos val="none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006973096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printSettings>
    <c:headerFooter alignWithMargins="0"/>
    <c:pageMargins b="1" l="0.75000000000000711" r="0.75000000000000711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23</xdr:row>
      <xdr:rowOff>38100</xdr:rowOff>
    </xdr:from>
    <xdr:to>
      <xdr:col>19</xdr:col>
      <xdr:colOff>504824</xdr:colOff>
      <xdr:row>37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19051</xdr:rowOff>
    </xdr:from>
    <xdr:to>
      <xdr:col>8</xdr:col>
      <xdr:colOff>182880</xdr:colOff>
      <xdr:row>100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12</xdr:col>
      <xdr:colOff>256309</xdr:colOff>
      <xdr:row>57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59</xdr:row>
      <xdr:rowOff>84859</xdr:rowOff>
    </xdr:from>
    <xdr:to>
      <xdr:col>4</xdr:col>
      <xdr:colOff>400055</xdr:colOff>
      <xdr:row>75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703985</xdr:colOff>
      <xdr:row>59</xdr:row>
      <xdr:rowOff>47625</xdr:rowOff>
    </xdr:from>
    <xdr:to>
      <xdr:col>13</xdr:col>
      <xdr:colOff>9525</xdr:colOff>
      <xdr:row>75</xdr:row>
      <xdr:rowOff>19050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0</xdr:colOff>
      <xdr:row>43</xdr:row>
      <xdr:rowOff>0</xdr:rowOff>
    </xdr:from>
    <xdr:to>
      <xdr:col>55</xdr:col>
      <xdr:colOff>256309</xdr:colOff>
      <xdr:row>57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285750</xdr:colOff>
      <xdr:row>59</xdr:row>
      <xdr:rowOff>84859</xdr:rowOff>
    </xdr:from>
    <xdr:to>
      <xdr:col>47</xdr:col>
      <xdr:colOff>400055</xdr:colOff>
      <xdr:row>75</xdr:row>
      <xdr:rowOff>123825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703985</xdr:colOff>
      <xdr:row>59</xdr:row>
      <xdr:rowOff>47625</xdr:rowOff>
    </xdr:from>
    <xdr:to>
      <xdr:col>56</xdr:col>
      <xdr:colOff>9525</xdr:colOff>
      <xdr:row>75</xdr:row>
      <xdr:rowOff>19050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43</xdr:col>
      <xdr:colOff>9524</xdr:colOff>
      <xdr:row>30</xdr:row>
      <xdr:rowOff>19049</xdr:rowOff>
    </xdr:from>
    <xdr:to>
      <xdr:col>85</xdr:col>
      <xdr:colOff>13334</xdr:colOff>
      <xdr:row>100</xdr:row>
      <xdr:rowOff>104774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REGIONS\BUDG99\DB_AV98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2000srv\common\Financial\Businessplan\200202\BP%20VCR%2010%20Years%20VIP%20(20020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TFinance\&#1041;&#1102;&#1076;&#1078;&#1077;&#1090;%202012\&#1041;&#1102;&#1076;&#1078;&#1077;&#1090;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TFinance/&#1041;&#1102;&#1076;&#1078;&#1077;&#1090;%202012/&#1041;&#1102;&#1076;&#1078;&#1077;&#1090;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REGIONS\BUDG99\SALE93M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korskaya2\LapshovSikorskaya\WINDOWS\Desktop\MSOffice\Excel\Finance\1st%20Qr.%2097\CONSO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2000srv\common\Projects\EUROPE\TYSKLAND\UMTS\VI%20Model%20Library-Ingunn16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korskaya2\LapshovSikorskaya\DOCUME~1\alapshov\LOCALS~1\Temp\C.Lotus.Notes.Data\BP_R_09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korskaya2\LapshovSikorskaya\TEMP\Arh\B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60;&#1080;&#1085;&#1076;&#1080;&#1088;&#1077;&#1082;&#1090;&#1086;&#1088;\Users\nor\AppData\Local\Microsoft\Windows\Temporary%20Internet%20Files\Content.Outlook\PGWJYZXA\&#1041;&#1102;&#1076;&#1078;&#1077;&#1090;_&#1087;&#1088;&#1086;&#1095;&#1080;&#1077;%20&#1088;&#1072;&#1089;&#1093;&#1086;&#1076;&#1099;_2016_&#1089;&#1074;&#1086;&#1076;&#1085;&#1099;&#1081;_06%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TFinance\2011%20&#1075;&#1086;&#1076;\&#1060;&#1048;&#1053;%20&#1054;&#1058;&#1063;&#1045;&#1058;&#1067;\Consol\&#1080;&#1102;&#1083;&#1100;\Fact_Forecast_Jule'11_23'08'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TFinance/2011%20&#1075;&#1086;&#1076;/&#1060;&#1048;&#1053;%20&#1054;&#1058;&#1063;&#1045;&#1058;&#1067;/Consol/&#1080;&#1102;&#1083;&#1100;/Fact_Forecast_Jule'11_23'08'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rivers"/>
      <sheetName val="Actual TR"/>
      <sheetName val="Key_Drivers"/>
      <sheetName val="Actual_TR"/>
    </sheetNames>
    <sheetDataSet>
      <sheetData sheetId="0" refreshError="1">
        <row r="24">
          <cell r="A24" t="str">
            <v xml:space="preserve">WCD/RCD Number of new lines </v>
          </cell>
        </row>
        <row r="25">
          <cell r="B25">
            <v>35765</v>
          </cell>
          <cell r="C25">
            <v>35796</v>
          </cell>
          <cell r="D25">
            <v>35827</v>
          </cell>
          <cell r="E25">
            <v>35855</v>
          </cell>
          <cell r="F25">
            <v>35886</v>
          </cell>
          <cell r="G25">
            <v>35916</v>
          </cell>
          <cell r="H25">
            <v>35947</v>
          </cell>
          <cell r="I25">
            <v>35977</v>
          </cell>
          <cell r="J25">
            <v>36008</v>
          </cell>
          <cell r="K25">
            <v>36039</v>
          </cell>
          <cell r="L25">
            <v>36069</v>
          </cell>
          <cell r="M25">
            <v>36100</v>
          </cell>
          <cell r="N25">
            <v>36130</v>
          </cell>
          <cell r="O25" t="str">
            <v>Total 98</v>
          </cell>
          <cell r="P25" t="str">
            <v>Q1-99</v>
          </cell>
          <cell r="Q25" t="str">
            <v>Q2-99</v>
          </cell>
          <cell r="R25" t="str">
            <v>Q3-99</v>
          </cell>
          <cell r="S25" t="str">
            <v>Q4-99</v>
          </cell>
          <cell r="T25" t="str">
            <v>Total 99</v>
          </cell>
          <cell r="U25">
            <v>2000</v>
          </cell>
          <cell r="V25">
            <v>2001</v>
          </cell>
          <cell r="W25">
            <v>2002</v>
          </cell>
        </row>
        <row r="26">
          <cell r="A26" t="str">
            <v>Ark</v>
          </cell>
          <cell r="B26">
            <v>46</v>
          </cell>
          <cell r="C26">
            <v>5</v>
          </cell>
          <cell r="D26">
            <v>5</v>
          </cell>
          <cell r="E26">
            <v>5</v>
          </cell>
          <cell r="F26">
            <v>5</v>
          </cell>
          <cell r="G26">
            <v>5</v>
          </cell>
          <cell r="H26">
            <v>5</v>
          </cell>
          <cell r="I26">
            <v>5</v>
          </cell>
          <cell r="J26">
            <v>5</v>
          </cell>
          <cell r="K26">
            <v>5</v>
          </cell>
          <cell r="L26">
            <v>5</v>
          </cell>
          <cell r="M26">
            <v>5</v>
          </cell>
          <cell r="N26">
            <v>5</v>
          </cell>
          <cell r="O26">
            <v>60</v>
          </cell>
          <cell r="P26">
            <v>16.5</v>
          </cell>
          <cell r="Q26">
            <v>18.150000000000002</v>
          </cell>
          <cell r="R26">
            <v>20.872500000000002</v>
          </cell>
          <cell r="S26">
            <v>24.003375000000002</v>
          </cell>
          <cell r="T26">
            <v>79.525875000000013</v>
          </cell>
          <cell r="U26">
            <v>107.35993125000003</v>
          </cell>
          <cell r="V26">
            <v>139.56791062500005</v>
          </cell>
          <cell r="W26">
            <v>160.50309721875004</v>
          </cell>
        </row>
        <row r="27">
          <cell r="A27" t="str">
            <v>Eka</v>
          </cell>
          <cell r="B27">
            <v>117</v>
          </cell>
          <cell r="C27">
            <v>6</v>
          </cell>
          <cell r="D27">
            <v>7</v>
          </cell>
          <cell r="E27">
            <v>10</v>
          </cell>
          <cell r="F27">
            <v>12</v>
          </cell>
          <cell r="G27">
            <v>5</v>
          </cell>
          <cell r="H27">
            <v>12</v>
          </cell>
          <cell r="I27">
            <v>10</v>
          </cell>
          <cell r="J27">
            <v>10</v>
          </cell>
          <cell r="K27">
            <v>12</v>
          </cell>
          <cell r="L27">
            <v>14</v>
          </cell>
          <cell r="M27">
            <v>14</v>
          </cell>
          <cell r="N27">
            <v>10</v>
          </cell>
          <cell r="O27">
            <v>122</v>
          </cell>
          <cell r="P27">
            <v>46.2</v>
          </cell>
          <cell r="Q27">
            <v>50.820000000000007</v>
          </cell>
          <cell r="R27">
            <v>58.443000000000005</v>
          </cell>
          <cell r="S27">
            <v>67.209450000000004</v>
          </cell>
          <cell r="T27">
            <v>222.67245000000003</v>
          </cell>
          <cell r="U27">
            <v>300.60780750000004</v>
          </cell>
          <cell r="V27">
            <v>390.79014975000007</v>
          </cell>
          <cell r="W27">
            <v>449.40867221250005</v>
          </cell>
        </row>
        <row r="28">
          <cell r="A28" t="str">
            <v>Irk</v>
          </cell>
          <cell r="B28">
            <v>93</v>
          </cell>
          <cell r="C28">
            <v>6</v>
          </cell>
          <cell r="D28">
            <v>8</v>
          </cell>
          <cell r="E28">
            <v>9</v>
          </cell>
          <cell r="F28">
            <v>10</v>
          </cell>
          <cell r="G28">
            <v>6</v>
          </cell>
          <cell r="H28">
            <v>12</v>
          </cell>
          <cell r="I28">
            <v>10</v>
          </cell>
          <cell r="J28">
            <v>10</v>
          </cell>
          <cell r="K28">
            <v>12</v>
          </cell>
          <cell r="L28">
            <v>14</v>
          </cell>
          <cell r="M28">
            <v>15</v>
          </cell>
          <cell r="N28">
            <v>8</v>
          </cell>
          <cell r="O28">
            <v>120</v>
          </cell>
          <cell r="P28">
            <v>49.5</v>
          </cell>
          <cell r="Q28">
            <v>54.45</v>
          </cell>
          <cell r="R28">
            <v>62.6175</v>
          </cell>
          <cell r="S28">
            <v>72.010124999999988</v>
          </cell>
          <cell r="T28">
            <v>238.57762499999998</v>
          </cell>
          <cell r="U28">
            <v>322.07979375000002</v>
          </cell>
          <cell r="V28">
            <v>418.70373187500002</v>
          </cell>
          <cell r="W28">
            <v>481.50929165624996</v>
          </cell>
        </row>
        <row r="29">
          <cell r="A29" t="str">
            <v>Kha</v>
          </cell>
          <cell r="B29">
            <v>48</v>
          </cell>
          <cell r="C29">
            <v>3</v>
          </cell>
          <cell r="D29">
            <v>4</v>
          </cell>
          <cell r="E29">
            <v>4</v>
          </cell>
          <cell r="F29">
            <v>4</v>
          </cell>
          <cell r="G29">
            <v>3</v>
          </cell>
          <cell r="H29">
            <v>4</v>
          </cell>
          <cell r="I29">
            <v>3</v>
          </cell>
          <cell r="J29">
            <v>3</v>
          </cell>
          <cell r="K29">
            <v>4</v>
          </cell>
          <cell r="L29">
            <v>4</v>
          </cell>
          <cell r="M29">
            <v>3</v>
          </cell>
          <cell r="N29">
            <v>3</v>
          </cell>
          <cell r="O29">
            <v>42</v>
          </cell>
          <cell r="P29">
            <v>9.9</v>
          </cell>
          <cell r="Q29">
            <v>10.89</v>
          </cell>
          <cell r="R29">
            <v>12.5235</v>
          </cell>
          <cell r="S29">
            <v>14.402025</v>
          </cell>
          <cell r="T29">
            <v>47.715525</v>
          </cell>
          <cell r="U29">
            <v>64.415958750000001</v>
          </cell>
          <cell r="V29">
            <v>83.740746375000001</v>
          </cell>
          <cell r="W29">
            <v>96.301858331249989</v>
          </cell>
        </row>
        <row r="30">
          <cell r="A30" t="str">
            <v>Kra</v>
          </cell>
          <cell r="B30">
            <v>156</v>
          </cell>
          <cell r="C30">
            <v>6</v>
          </cell>
          <cell r="D30">
            <v>8</v>
          </cell>
          <cell r="E30">
            <v>10</v>
          </cell>
          <cell r="F30">
            <v>10</v>
          </cell>
          <cell r="G30">
            <v>6</v>
          </cell>
          <cell r="H30">
            <v>12</v>
          </cell>
          <cell r="I30">
            <v>10</v>
          </cell>
          <cell r="J30">
            <v>12</v>
          </cell>
          <cell r="K30">
            <v>12</v>
          </cell>
          <cell r="L30">
            <v>14</v>
          </cell>
          <cell r="M30">
            <v>15</v>
          </cell>
          <cell r="N30">
            <v>9</v>
          </cell>
          <cell r="O30">
            <v>124</v>
          </cell>
          <cell r="P30">
            <v>49.5</v>
          </cell>
          <cell r="Q30">
            <v>54.45</v>
          </cell>
          <cell r="R30">
            <v>62.6175</v>
          </cell>
          <cell r="S30">
            <v>72.010124999999988</v>
          </cell>
          <cell r="T30">
            <v>238.57762499999998</v>
          </cell>
          <cell r="U30">
            <v>322.07979375000002</v>
          </cell>
          <cell r="V30">
            <v>418.70373187500002</v>
          </cell>
          <cell r="W30">
            <v>481.50929165624996</v>
          </cell>
        </row>
        <row r="31">
          <cell r="A31" t="str">
            <v>Niz</v>
          </cell>
          <cell r="B31">
            <v>137</v>
          </cell>
          <cell r="C31">
            <v>7</v>
          </cell>
          <cell r="D31">
            <v>8</v>
          </cell>
          <cell r="E31">
            <v>10</v>
          </cell>
          <cell r="F31">
            <v>10</v>
          </cell>
          <cell r="G31">
            <v>6</v>
          </cell>
          <cell r="H31">
            <v>10</v>
          </cell>
          <cell r="I31">
            <v>12</v>
          </cell>
          <cell r="J31">
            <v>12</v>
          </cell>
          <cell r="K31">
            <v>14</v>
          </cell>
          <cell r="L31">
            <v>14</v>
          </cell>
          <cell r="M31">
            <v>14</v>
          </cell>
          <cell r="N31">
            <v>10</v>
          </cell>
          <cell r="O31">
            <v>127</v>
          </cell>
          <cell r="P31">
            <v>46.2</v>
          </cell>
          <cell r="Q31">
            <v>50.820000000000007</v>
          </cell>
          <cell r="R31">
            <v>58.443000000000005</v>
          </cell>
          <cell r="S31">
            <v>67.209450000000004</v>
          </cell>
          <cell r="T31">
            <v>222.67245000000003</v>
          </cell>
          <cell r="U31">
            <v>300.60780750000004</v>
          </cell>
          <cell r="V31">
            <v>390.79014975000007</v>
          </cell>
          <cell r="W31">
            <v>449.40867221250005</v>
          </cell>
        </row>
        <row r="32">
          <cell r="A32" t="str">
            <v>Nov</v>
          </cell>
          <cell r="B32">
            <v>122</v>
          </cell>
          <cell r="C32">
            <v>4</v>
          </cell>
          <cell r="D32">
            <v>6</v>
          </cell>
          <cell r="E32">
            <v>7</v>
          </cell>
          <cell r="F32">
            <v>8</v>
          </cell>
          <cell r="G32">
            <v>6</v>
          </cell>
          <cell r="H32">
            <v>8</v>
          </cell>
          <cell r="I32">
            <v>7</v>
          </cell>
          <cell r="J32">
            <v>6</v>
          </cell>
          <cell r="K32">
            <v>7</v>
          </cell>
          <cell r="L32">
            <v>8</v>
          </cell>
          <cell r="M32">
            <v>8</v>
          </cell>
          <cell r="N32">
            <v>8</v>
          </cell>
          <cell r="O32">
            <v>83</v>
          </cell>
          <cell r="P32">
            <v>26.400000000000002</v>
          </cell>
          <cell r="Q32">
            <v>29.040000000000006</v>
          </cell>
          <cell r="R32">
            <v>33.396000000000008</v>
          </cell>
          <cell r="S32">
            <v>38.405400000000007</v>
          </cell>
          <cell r="T32">
            <v>127.24140000000003</v>
          </cell>
          <cell r="U32">
            <v>171.77589000000006</v>
          </cell>
          <cell r="V32">
            <v>223.3086570000001</v>
          </cell>
          <cell r="W32">
            <v>256.8049555500001</v>
          </cell>
        </row>
        <row r="33">
          <cell r="A33" t="str">
            <v>Syk</v>
          </cell>
          <cell r="B33">
            <v>94</v>
          </cell>
          <cell r="C33">
            <v>4</v>
          </cell>
          <cell r="D33">
            <v>5</v>
          </cell>
          <cell r="E33">
            <v>7</v>
          </cell>
          <cell r="F33">
            <v>8</v>
          </cell>
          <cell r="G33">
            <v>4</v>
          </cell>
          <cell r="H33">
            <v>8</v>
          </cell>
          <cell r="I33">
            <v>6</v>
          </cell>
          <cell r="J33">
            <v>5</v>
          </cell>
          <cell r="K33">
            <v>8</v>
          </cell>
          <cell r="L33">
            <v>8</v>
          </cell>
          <cell r="M33">
            <v>8</v>
          </cell>
          <cell r="N33">
            <v>5</v>
          </cell>
          <cell r="O33">
            <v>76</v>
          </cell>
          <cell r="P33">
            <v>26.400000000000002</v>
          </cell>
          <cell r="Q33">
            <v>29.040000000000006</v>
          </cell>
          <cell r="R33">
            <v>33.396000000000008</v>
          </cell>
          <cell r="S33">
            <v>38.405400000000007</v>
          </cell>
          <cell r="T33">
            <v>127.24140000000003</v>
          </cell>
          <cell r="U33">
            <v>171.77589000000006</v>
          </cell>
          <cell r="V33">
            <v>223.3086570000001</v>
          </cell>
          <cell r="W33">
            <v>256.8049555500001</v>
          </cell>
        </row>
        <row r="34">
          <cell r="A34" t="str">
            <v>Tyu</v>
          </cell>
          <cell r="B34">
            <v>155</v>
          </cell>
          <cell r="C34">
            <v>5</v>
          </cell>
          <cell r="D34">
            <v>7</v>
          </cell>
          <cell r="E34">
            <v>10</v>
          </cell>
          <cell r="F34">
            <v>10</v>
          </cell>
          <cell r="G34">
            <v>5</v>
          </cell>
          <cell r="H34">
            <v>12</v>
          </cell>
          <cell r="I34">
            <v>9</v>
          </cell>
          <cell r="J34">
            <v>9</v>
          </cell>
          <cell r="K34">
            <v>10</v>
          </cell>
          <cell r="L34">
            <v>12</v>
          </cell>
          <cell r="M34">
            <v>12</v>
          </cell>
          <cell r="N34">
            <v>9</v>
          </cell>
          <cell r="O34">
            <v>110</v>
          </cell>
          <cell r="P34">
            <v>39.6</v>
          </cell>
          <cell r="Q34">
            <v>43.56</v>
          </cell>
          <cell r="R34">
            <v>50.094000000000001</v>
          </cell>
          <cell r="S34">
            <v>57.6081</v>
          </cell>
          <cell r="T34">
            <v>190.8621</v>
          </cell>
          <cell r="U34">
            <v>257.66383500000001</v>
          </cell>
          <cell r="V34">
            <v>334.9629855</v>
          </cell>
          <cell r="W34">
            <v>385.20743332499995</v>
          </cell>
        </row>
        <row r="35">
          <cell r="A35" t="str">
            <v>Ufa</v>
          </cell>
          <cell r="B35">
            <v>93</v>
          </cell>
          <cell r="C35">
            <v>4</v>
          </cell>
          <cell r="D35">
            <v>6</v>
          </cell>
          <cell r="E35">
            <v>7</v>
          </cell>
          <cell r="F35">
            <v>8</v>
          </cell>
          <cell r="G35">
            <v>5</v>
          </cell>
          <cell r="H35">
            <v>8</v>
          </cell>
          <cell r="I35">
            <v>6</v>
          </cell>
          <cell r="J35">
            <v>6</v>
          </cell>
          <cell r="K35">
            <v>9</v>
          </cell>
          <cell r="L35">
            <v>9</v>
          </cell>
          <cell r="M35">
            <v>10</v>
          </cell>
          <cell r="N35">
            <v>5</v>
          </cell>
          <cell r="O35">
            <v>83</v>
          </cell>
          <cell r="P35">
            <v>33</v>
          </cell>
          <cell r="Q35">
            <v>36.300000000000004</v>
          </cell>
          <cell r="R35">
            <v>41.745000000000005</v>
          </cell>
          <cell r="S35">
            <v>48.006750000000004</v>
          </cell>
          <cell r="T35">
            <v>159.05175000000003</v>
          </cell>
          <cell r="U35">
            <v>214.71986250000006</v>
          </cell>
          <cell r="V35">
            <v>279.13582125000011</v>
          </cell>
          <cell r="W35">
            <v>321.00619443750008</v>
          </cell>
        </row>
        <row r="36">
          <cell r="A36" t="str">
            <v>Vla</v>
          </cell>
          <cell r="B36">
            <v>257</v>
          </cell>
          <cell r="C36">
            <v>9</v>
          </cell>
          <cell r="D36">
            <v>10</v>
          </cell>
          <cell r="E36">
            <v>12</v>
          </cell>
          <cell r="F36">
            <v>10</v>
          </cell>
          <cell r="G36">
            <v>10</v>
          </cell>
          <cell r="H36">
            <v>12</v>
          </cell>
          <cell r="I36">
            <v>10</v>
          </cell>
          <cell r="J36">
            <v>8</v>
          </cell>
          <cell r="K36">
            <v>11</v>
          </cell>
          <cell r="L36">
            <v>14</v>
          </cell>
          <cell r="M36">
            <v>14</v>
          </cell>
          <cell r="N36">
            <v>14</v>
          </cell>
          <cell r="O36">
            <v>134</v>
          </cell>
          <cell r="P36">
            <v>46.2</v>
          </cell>
          <cell r="Q36">
            <v>50.820000000000007</v>
          </cell>
          <cell r="R36">
            <v>58.443000000000005</v>
          </cell>
          <cell r="S36">
            <v>67.209450000000004</v>
          </cell>
          <cell r="T36">
            <v>222.67245000000003</v>
          </cell>
          <cell r="U36">
            <v>300.60780750000004</v>
          </cell>
          <cell r="V36">
            <v>390.79014975000007</v>
          </cell>
          <cell r="W36">
            <v>449.40867221250005</v>
          </cell>
        </row>
        <row r="37">
          <cell r="A37" t="str">
            <v>Vol</v>
          </cell>
          <cell r="B37">
            <v>36</v>
          </cell>
          <cell r="C37">
            <v>4</v>
          </cell>
          <cell r="D37">
            <v>6</v>
          </cell>
          <cell r="E37">
            <v>8</v>
          </cell>
          <cell r="F37">
            <v>8</v>
          </cell>
          <cell r="G37">
            <v>5</v>
          </cell>
          <cell r="H37">
            <v>9</v>
          </cell>
          <cell r="I37">
            <v>7</v>
          </cell>
          <cell r="J37">
            <v>6</v>
          </cell>
          <cell r="K37">
            <v>8</v>
          </cell>
          <cell r="L37">
            <v>10</v>
          </cell>
          <cell r="M37">
            <v>10</v>
          </cell>
          <cell r="N37">
            <v>8</v>
          </cell>
          <cell r="O37">
            <v>89</v>
          </cell>
          <cell r="P37">
            <v>33</v>
          </cell>
          <cell r="Q37">
            <v>36.300000000000004</v>
          </cell>
          <cell r="R37">
            <v>41.745000000000005</v>
          </cell>
          <cell r="S37">
            <v>48.006750000000004</v>
          </cell>
          <cell r="T37">
            <v>159.05175000000003</v>
          </cell>
          <cell r="U37">
            <v>214.71986250000006</v>
          </cell>
          <cell r="V37">
            <v>279.13582125000011</v>
          </cell>
          <cell r="W37">
            <v>321.00619443750008</v>
          </cell>
        </row>
        <row r="38">
          <cell r="A38" t="str">
            <v>Vor</v>
          </cell>
          <cell r="B38">
            <v>70</v>
          </cell>
          <cell r="C38">
            <v>5</v>
          </cell>
          <cell r="D38">
            <v>6</v>
          </cell>
          <cell r="E38">
            <v>7</v>
          </cell>
          <cell r="F38">
            <v>8</v>
          </cell>
          <cell r="G38">
            <v>5</v>
          </cell>
          <cell r="H38">
            <v>6</v>
          </cell>
          <cell r="I38">
            <v>7</v>
          </cell>
          <cell r="J38">
            <v>5</v>
          </cell>
          <cell r="K38">
            <v>8</v>
          </cell>
          <cell r="L38">
            <v>9</v>
          </cell>
          <cell r="M38">
            <v>10</v>
          </cell>
          <cell r="N38">
            <v>6</v>
          </cell>
          <cell r="O38">
            <v>82</v>
          </cell>
          <cell r="P38">
            <v>33</v>
          </cell>
          <cell r="Q38">
            <v>36.300000000000004</v>
          </cell>
          <cell r="R38">
            <v>41.745000000000005</v>
          </cell>
          <cell r="S38">
            <v>48.006750000000004</v>
          </cell>
          <cell r="T38">
            <v>159.05175000000003</v>
          </cell>
          <cell r="U38">
            <v>214.71986250000006</v>
          </cell>
          <cell r="V38">
            <v>279.13582125000011</v>
          </cell>
          <cell r="W38">
            <v>321.00619443750008</v>
          </cell>
        </row>
        <row r="39">
          <cell r="A39" t="str">
            <v>97#1</v>
          </cell>
          <cell r="B39">
            <v>0</v>
          </cell>
          <cell r="C39">
            <v>0</v>
          </cell>
          <cell r="D39">
            <v>0</v>
          </cell>
          <cell r="E39">
            <v>1</v>
          </cell>
          <cell r="F39">
            <v>3</v>
          </cell>
          <cell r="G39">
            <v>3</v>
          </cell>
          <cell r="H39">
            <v>4</v>
          </cell>
          <cell r="I39">
            <v>4</v>
          </cell>
          <cell r="J39">
            <v>5</v>
          </cell>
          <cell r="K39">
            <v>5</v>
          </cell>
          <cell r="L39">
            <v>5</v>
          </cell>
          <cell r="M39">
            <v>6</v>
          </cell>
          <cell r="N39">
            <v>6</v>
          </cell>
          <cell r="O39">
            <v>42</v>
          </cell>
          <cell r="P39">
            <v>19.8</v>
          </cell>
          <cell r="Q39">
            <v>21.78</v>
          </cell>
          <cell r="R39">
            <v>25.047000000000001</v>
          </cell>
          <cell r="S39">
            <v>28.80405</v>
          </cell>
          <cell r="T39">
            <v>95.431049999999999</v>
          </cell>
          <cell r="U39">
            <v>128.8319175</v>
          </cell>
          <cell r="V39">
            <v>167.48149275</v>
          </cell>
          <cell r="W39">
            <v>192.60371666249998</v>
          </cell>
        </row>
        <row r="40">
          <cell r="A40" t="str">
            <v>97#2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1</v>
          </cell>
          <cell r="G40">
            <v>3</v>
          </cell>
          <cell r="H40">
            <v>3</v>
          </cell>
          <cell r="I40">
            <v>4</v>
          </cell>
          <cell r="J40">
            <v>5</v>
          </cell>
          <cell r="K40">
            <v>5</v>
          </cell>
          <cell r="L40">
            <v>6</v>
          </cell>
          <cell r="M40">
            <v>6</v>
          </cell>
          <cell r="N40">
            <v>5</v>
          </cell>
          <cell r="O40">
            <v>38</v>
          </cell>
          <cell r="P40">
            <v>19.8</v>
          </cell>
          <cell r="Q40">
            <v>21.78</v>
          </cell>
          <cell r="R40">
            <v>25.047000000000001</v>
          </cell>
          <cell r="S40">
            <v>28.80405</v>
          </cell>
          <cell r="T40">
            <v>95.431049999999999</v>
          </cell>
          <cell r="U40">
            <v>128.8319175</v>
          </cell>
          <cell r="V40">
            <v>167.48149275</v>
          </cell>
          <cell r="W40">
            <v>192.60371666249998</v>
          </cell>
        </row>
        <row r="41">
          <cell r="A41" t="str">
            <v>98#1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3</v>
          </cell>
          <cell r="M41">
            <v>5</v>
          </cell>
          <cell r="N41">
            <v>4</v>
          </cell>
          <cell r="O41">
            <v>12</v>
          </cell>
          <cell r="P41">
            <v>16.5</v>
          </cell>
          <cell r="Q41">
            <v>18.150000000000002</v>
          </cell>
          <cell r="R41">
            <v>20.872500000000002</v>
          </cell>
          <cell r="S41">
            <v>24.003375000000002</v>
          </cell>
          <cell r="T41">
            <v>79.525875000000013</v>
          </cell>
          <cell r="U41">
            <v>107.35993125000003</v>
          </cell>
          <cell r="V41">
            <v>139.56791062500005</v>
          </cell>
          <cell r="W41">
            <v>160.50309721875004</v>
          </cell>
        </row>
        <row r="42">
          <cell r="A42" t="str">
            <v>98#2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</v>
          </cell>
          <cell r="O42">
            <v>5</v>
          </cell>
          <cell r="P42">
            <v>15</v>
          </cell>
          <cell r="Q42">
            <v>16.5</v>
          </cell>
          <cell r="R42">
            <v>18.974999999999998</v>
          </cell>
          <cell r="S42">
            <v>21.821249999999996</v>
          </cell>
          <cell r="T42">
            <v>72.296249999999986</v>
          </cell>
          <cell r="U42">
            <v>97.599937499999982</v>
          </cell>
          <cell r="V42">
            <v>126.87991874999999</v>
          </cell>
          <cell r="W42">
            <v>145.91190656249998</v>
          </cell>
        </row>
        <row r="43">
          <cell r="A43" t="str">
            <v>Mos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Con</v>
          </cell>
          <cell r="B44">
            <v>1429</v>
          </cell>
          <cell r="C44">
            <v>68</v>
          </cell>
          <cell r="D44">
            <v>86</v>
          </cell>
          <cell r="E44">
            <v>107</v>
          </cell>
          <cell r="F44">
            <v>115</v>
          </cell>
          <cell r="G44">
            <v>77</v>
          </cell>
          <cell r="H44">
            <v>125</v>
          </cell>
          <cell r="I44">
            <v>110</v>
          </cell>
          <cell r="J44">
            <v>107</v>
          </cell>
          <cell r="K44">
            <v>130</v>
          </cell>
          <cell r="L44">
            <v>149</v>
          </cell>
          <cell r="M44">
            <v>155</v>
          </cell>
          <cell r="N44">
            <v>120</v>
          </cell>
          <cell r="O44">
            <v>1349</v>
          </cell>
          <cell r="P44">
            <v>526.5</v>
          </cell>
          <cell r="Q44">
            <v>579.15</v>
          </cell>
          <cell r="R44">
            <v>666.02250000000015</v>
          </cell>
          <cell r="S44">
            <v>765.92587499999991</v>
          </cell>
          <cell r="T44">
            <v>2537.598375</v>
          </cell>
          <cell r="U44">
            <v>3425.7578062500011</v>
          </cell>
          <cell r="V44">
            <v>4453.4851481249998</v>
          </cell>
          <cell r="W44">
            <v>5121.5079203437508</v>
          </cell>
        </row>
        <row r="46">
          <cell r="A46" t="str">
            <v xml:space="preserve">WCD/RCD Installation fee </v>
          </cell>
        </row>
        <row r="47">
          <cell r="B47">
            <v>35765</v>
          </cell>
          <cell r="C47">
            <v>35796</v>
          </cell>
          <cell r="D47">
            <v>35827</v>
          </cell>
          <cell r="E47">
            <v>35855</v>
          </cell>
          <cell r="F47">
            <v>35886</v>
          </cell>
          <cell r="G47">
            <v>35916</v>
          </cell>
          <cell r="H47">
            <v>35947</v>
          </cell>
          <cell r="I47">
            <v>35977</v>
          </cell>
          <cell r="J47">
            <v>36008</v>
          </cell>
          <cell r="K47">
            <v>36039</v>
          </cell>
          <cell r="L47">
            <v>36069</v>
          </cell>
          <cell r="M47">
            <v>36100</v>
          </cell>
          <cell r="N47">
            <v>36130</v>
          </cell>
          <cell r="O47" t="str">
            <v>Total 98</v>
          </cell>
          <cell r="P47" t="str">
            <v>Q1-99</v>
          </cell>
          <cell r="Q47" t="str">
            <v>Q2-99</v>
          </cell>
          <cell r="R47" t="str">
            <v>Q3-99</v>
          </cell>
          <cell r="S47" t="str">
            <v>Q4-99</v>
          </cell>
          <cell r="T47" t="str">
            <v>Total 99</v>
          </cell>
          <cell r="U47">
            <v>2000</v>
          </cell>
          <cell r="V47">
            <v>2001</v>
          </cell>
          <cell r="W47">
            <v>2002</v>
          </cell>
        </row>
        <row r="48">
          <cell r="A48" t="str">
            <v>Ark</v>
          </cell>
          <cell r="C48">
            <v>650</v>
          </cell>
          <cell r="D48">
            <v>650</v>
          </cell>
          <cell r="E48">
            <v>650</v>
          </cell>
          <cell r="F48">
            <v>650</v>
          </cell>
          <cell r="G48">
            <v>650</v>
          </cell>
          <cell r="H48">
            <v>650</v>
          </cell>
          <cell r="I48">
            <v>650</v>
          </cell>
          <cell r="J48">
            <v>650</v>
          </cell>
          <cell r="K48">
            <v>650</v>
          </cell>
          <cell r="L48">
            <v>650</v>
          </cell>
          <cell r="M48">
            <v>650</v>
          </cell>
          <cell r="N48">
            <v>650</v>
          </cell>
          <cell r="P48">
            <v>650</v>
          </cell>
          <cell r="Q48">
            <v>650</v>
          </cell>
          <cell r="R48">
            <v>650</v>
          </cell>
          <cell r="S48">
            <v>650</v>
          </cell>
          <cell r="U48">
            <v>650</v>
          </cell>
          <cell r="V48">
            <v>650</v>
          </cell>
          <cell r="W48">
            <v>650</v>
          </cell>
        </row>
        <row r="49">
          <cell r="A49" t="str">
            <v>Eka</v>
          </cell>
          <cell r="C49">
            <v>650</v>
          </cell>
          <cell r="D49">
            <v>650</v>
          </cell>
          <cell r="E49">
            <v>650</v>
          </cell>
          <cell r="F49">
            <v>650</v>
          </cell>
          <cell r="G49">
            <v>650</v>
          </cell>
          <cell r="H49">
            <v>650</v>
          </cell>
          <cell r="I49">
            <v>650</v>
          </cell>
          <cell r="J49">
            <v>650</v>
          </cell>
          <cell r="K49">
            <v>650</v>
          </cell>
          <cell r="L49">
            <v>650</v>
          </cell>
          <cell r="M49">
            <v>650</v>
          </cell>
          <cell r="N49">
            <v>650</v>
          </cell>
          <cell r="P49">
            <v>650</v>
          </cell>
          <cell r="Q49">
            <v>650</v>
          </cell>
          <cell r="R49">
            <v>650</v>
          </cell>
          <cell r="S49">
            <v>650</v>
          </cell>
          <cell r="U49">
            <v>650</v>
          </cell>
          <cell r="V49">
            <v>650</v>
          </cell>
          <cell r="W49">
            <v>650</v>
          </cell>
        </row>
        <row r="50">
          <cell r="A50" t="str">
            <v>Irk</v>
          </cell>
          <cell r="C50">
            <v>750</v>
          </cell>
          <cell r="D50">
            <v>750</v>
          </cell>
          <cell r="E50">
            <v>750</v>
          </cell>
          <cell r="F50">
            <v>750</v>
          </cell>
          <cell r="G50">
            <v>750</v>
          </cell>
          <cell r="H50">
            <v>750</v>
          </cell>
          <cell r="I50">
            <v>750</v>
          </cell>
          <cell r="J50">
            <v>750</v>
          </cell>
          <cell r="K50">
            <v>750</v>
          </cell>
          <cell r="L50">
            <v>750</v>
          </cell>
          <cell r="M50">
            <v>750</v>
          </cell>
          <cell r="N50">
            <v>750</v>
          </cell>
          <cell r="P50">
            <v>750</v>
          </cell>
          <cell r="Q50">
            <v>750</v>
          </cell>
          <cell r="R50">
            <v>750</v>
          </cell>
          <cell r="S50">
            <v>750</v>
          </cell>
          <cell r="U50">
            <v>750</v>
          </cell>
          <cell r="V50">
            <v>750</v>
          </cell>
          <cell r="W50">
            <v>750</v>
          </cell>
        </row>
        <row r="51">
          <cell r="A51" t="str">
            <v>Kha</v>
          </cell>
          <cell r="C51">
            <v>1200</v>
          </cell>
          <cell r="D51">
            <v>1200</v>
          </cell>
          <cell r="E51">
            <v>1200</v>
          </cell>
          <cell r="F51">
            <v>1200</v>
          </cell>
          <cell r="G51">
            <v>1200</v>
          </cell>
          <cell r="H51">
            <v>1200</v>
          </cell>
          <cell r="I51">
            <v>1200</v>
          </cell>
          <cell r="J51">
            <v>1200</v>
          </cell>
          <cell r="K51">
            <v>1200</v>
          </cell>
          <cell r="L51">
            <v>1200</v>
          </cell>
          <cell r="M51">
            <v>1200</v>
          </cell>
          <cell r="N51">
            <v>1200</v>
          </cell>
          <cell r="P51">
            <v>1200</v>
          </cell>
          <cell r="Q51">
            <v>1200</v>
          </cell>
          <cell r="R51">
            <v>1200</v>
          </cell>
          <cell r="S51">
            <v>1200</v>
          </cell>
          <cell r="U51">
            <v>1200</v>
          </cell>
          <cell r="V51">
            <v>1200</v>
          </cell>
          <cell r="W51">
            <v>1200</v>
          </cell>
        </row>
        <row r="52">
          <cell r="A52" t="str">
            <v>Kra</v>
          </cell>
          <cell r="C52">
            <v>950</v>
          </cell>
          <cell r="D52">
            <v>950</v>
          </cell>
          <cell r="E52">
            <v>950</v>
          </cell>
          <cell r="F52">
            <v>950</v>
          </cell>
          <cell r="G52">
            <v>950</v>
          </cell>
          <cell r="H52">
            <v>950</v>
          </cell>
          <cell r="I52">
            <v>950</v>
          </cell>
          <cell r="J52">
            <v>950</v>
          </cell>
          <cell r="K52">
            <v>950</v>
          </cell>
          <cell r="L52">
            <v>950</v>
          </cell>
          <cell r="M52">
            <v>950</v>
          </cell>
          <cell r="N52">
            <v>950</v>
          </cell>
          <cell r="P52">
            <v>950</v>
          </cell>
          <cell r="Q52">
            <v>950</v>
          </cell>
          <cell r="R52">
            <v>950</v>
          </cell>
          <cell r="S52">
            <v>950</v>
          </cell>
          <cell r="U52">
            <v>950</v>
          </cell>
          <cell r="V52">
            <v>950</v>
          </cell>
          <cell r="W52">
            <v>950</v>
          </cell>
        </row>
        <row r="53">
          <cell r="A53" t="str">
            <v>Niz</v>
          </cell>
          <cell r="C53">
            <v>750</v>
          </cell>
          <cell r="D53">
            <v>750</v>
          </cell>
          <cell r="E53">
            <v>750</v>
          </cell>
          <cell r="F53">
            <v>750</v>
          </cell>
          <cell r="G53">
            <v>750</v>
          </cell>
          <cell r="H53">
            <v>750</v>
          </cell>
          <cell r="I53">
            <v>750</v>
          </cell>
          <cell r="J53">
            <v>750</v>
          </cell>
          <cell r="K53">
            <v>750</v>
          </cell>
          <cell r="L53">
            <v>750</v>
          </cell>
          <cell r="M53">
            <v>750</v>
          </cell>
          <cell r="N53">
            <v>750</v>
          </cell>
          <cell r="P53">
            <v>750</v>
          </cell>
          <cell r="Q53">
            <v>750</v>
          </cell>
          <cell r="R53">
            <v>750</v>
          </cell>
          <cell r="S53">
            <v>750</v>
          </cell>
          <cell r="U53">
            <v>750</v>
          </cell>
          <cell r="V53">
            <v>750</v>
          </cell>
          <cell r="W53">
            <v>750</v>
          </cell>
        </row>
        <row r="54">
          <cell r="A54" t="str">
            <v>Nov</v>
          </cell>
          <cell r="C54">
            <v>1250</v>
          </cell>
          <cell r="D54">
            <v>1250</v>
          </cell>
          <cell r="E54">
            <v>1250</v>
          </cell>
          <cell r="F54">
            <v>1250</v>
          </cell>
          <cell r="G54">
            <v>1250</v>
          </cell>
          <cell r="H54">
            <v>1250</v>
          </cell>
          <cell r="I54">
            <v>1250</v>
          </cell>
          <cell r="J54">
            <v>1250</v>
          </cell>
          <cell r="K54">
            <v>1250</v>
          </cell>
          <cell r="L54">
            <v>1250</v>
          </cell>
          <cell r="M54">
            <v>1250</v>
          </cell>
          <cell r="N54">
            <v>1250</v>
          </cell>
          <cell r="P54">
            <v>1250</v>
          </cell>
          <cell r="Q54">
            <v>1250</v>
          </cell>
          <cell r="R54">
            <v>1250</v>
          </cell>
          <cell r="S54">
            <v>1250</v>
          </cell>
          <cell r="U54">
            <v>1250</v>
          </cell>
          <cell r="V54">
            <v>1250</v>
          </cell>
          <cell r="W54">
            <v>1250</v>
          </cell>
        </row>
        <row r="55">
          <cell r="A55" t="str">
            <v>Syk</v>
          </cell>
          <cell r="C55">
            <v>750</v>
          </cell>
          <cell r="D55">
            <v>750</v>
          </cell>
          <cell r="E55">
            <v>750</v>
          </cell>
          <cell r="F55">
            <v>750</v>
          </cell>
          <cell r="G55">
            <v>750</v>
          </cell>
          <cell r="H55">
            <v>750</v>
          </cell>
          <cell r="I55">
            <v>750</v>
          </cell>
          <cell r="J55">
            <v>750</v>
          </cell>
          <cell r="K55">
            <v>750</v>
          </cell>
          <cell r="L55">
            <v>750</v>
          </cell>
          <cell r="M55">
            <v>750</v>
          </cell>
          <cell r="N55">
            <v>750</v>
          </cell>
          <cell r="P55">
            <v>750</v>
          </cell>
          <cell r="Q55">
            <v>750</v>
          </cell>
          <cell r="R55">
            <v>750</v>
          </cell>
          <cell r="S55">
            <v>750</v>
          </cell>
          <cell r="U55">
            <v>750</v>
          </cell>
          <cell r="V55">
            <v>750</v>
          </cell>
          <cell r="W55">
            <v>750</v>
          </cell>
        </row>
        <row r="56">
          <cell r="A56" t="str">
            <v>Tyu</v>
          </cell>
          <cell r="C56">
            <v>700</v>
          </cell>
          <cell r="D56">
            <v>700</v>
          </cell>
          <cell r="E56">
            <v>700</v>
          </cell>
          <cell r="F56">
            <v>700</v>
          </cell>
          <cell r="G56">
            <v>700</v>
          </cell>
          <cell r="H56">
            <v>700</v>
          </cell>
          <cell r="I56">
            <v>700</v>
          </cell>
          <cell r="J56">
            <v>700</v>
          </cell>
          <cell r="K56">
            <v>700</v>
          </cell>
          <cell r="L56">
            <v>700</v>
          </cell>
          <cell r="M56">
            <v>700</v>
          </cell>
          <cell r="N56">
            <v>700</v>
          </cell>
          <cell r="P56">
            <v>700</v>
          </cell>
          <cell r="Q56">
            <v>700</v>
          </cell>
          <cell r="R56">
            <v>700</v>
          </cell>
          <cell r="S56">
            <v>700</v>
          </cell>
          <cell r="U56">
            <v>700</v>
          </cell>
          <cell r="V56">
            <v>700</v>
          </cell>
          <cell r="W56">
            <v>700</v>
          </cell>
        </row>
        <row r="57">
          <cell r="A57" t="str">
            <v>Ufa</v>
          </cell>
          <cell r="C57">
            <v>1000</v>
          </cell>
          <cell r="D57">
            <v>1000</v>
          </cell>
          <cell r="E57">
            <v>1000</v>
          </cell>
          <cell r="F57">
            <v>1000</v>
          </cell>
          <cell r="G57">
            <v>1000</v>
          </cell>
          <cell r="H57">
            <v>1000</v>
          </cell>
          <cell r="I57">
            <v>1000</v>
          </cell>
          <cell r="J57">
            <v>1000</v>
          </cell>
          <cell r="K57">
            <v>1000</v>
          </cell>
          <cell r="L57">
            <v>1000</v>
          </cell>
          <cell r="M57">
            <v>1000</v>
          </cell>
          <cell r="N57">
            <v>1000</v>
          </cell>
          <cell r="P57">
            <v>1000</v>
          </cell>
          <cell r="Q57">
            <v>1000</v>
          </cell>
          <cell r="R57">
            <v>1000</v>
          </cell>
          <cell r="S57">
            <v>1000</v>
          </cell>
          <cell r="U57">
            <v>1000</v>
          </cell>
          <cell r="V57">
            <v>1000</v>
          </cell>
          <cell r="W57">
            <v>1000</v>
          </cell>
        </row>
        <row r="58">
          <cell r="A58" t="str">
            <v>Vla</v>
          </cell>
          <cell r="C58">
            <v>1100</v>
          </cell>
          <cell r="D58">
            <v>1100</v>
          </cell>
          <cell r="E58">
            <v>1100</v>
          </cell>
          <cell r="F58">
            <v>1100</v>
          </cell>
          <cell r="G58">
            <v>1100</v>
          </cell>
          <cell r="H58">
            <v>1100</v>
          </cell>
          <cell r="I58">
            <v>1100</v>
          </cell>
          <cell r="J58">
            <v>1100</v>
          </cell>
          <cell r="K58">
            <v>1100</v>
          </cell>
          <cell r="L58">
            <v>1100</v>
          </cell>
          <cell r="M58">
            <v>1100</v>
          </cell>
          <cell r="N58">
            <v>1100</v>
          </cell>
          <cell r="P58">
            <v>1100</v>
          </cell>
          <cell r="Q58">
            <v>1100</v>
          </cell>
          <cell r="R58">
            <v>1100</v>
          </cell>
          <cell r="S58">
            <v>1100</v>
          </cell>
          <cell r="U58">
            <v>1100</v>
          </cell>
          <cell r="V58">
            <v>1100</v>
          </cell>
          <cell r="W58">
            <v>1100</v>
          </cell>
        </row>
        <row r="59">
          <cell r="A59" t="str">
            <v>Vol</v>
          </cell>
          <cell r="C59">
            <v>800</v>
          </cell>
          <cell r="D59">
            <v>800</v>
          </cell>
          <cell r="E59">
            <v>800</v>
          </cell>
          <cell r="F59">
            <v>800</v>
          </cell>
          <cell r="G59">
            <v>800</v>
          </cell>
          <cell r="H59">
            <v>800</v>
          </cell>
          <cell r="I59">
            <v>800</v>
          </cell>
          <cell r="J59">
            <v>800</v>
          </cell>
          <cell r="K59">
            <v>800</v>
          </cell>
          <cell r="L59">
            <v>800</v>
          </cell>
          <cell r="M59">
            <v>800</v>
          </cell>
          <cell r="N59">
            <v>800</v>
          </cell>
          <cell r="P59">
            <v>800</v>
          </cell>
          <cell r="Q59">
            <v>800</v>
          </cell>
          <cell r="R59">
            <v>800</v>
          </cell>
          <cell r="S59">
            <v>800</v>
          </cell>
          <cell r="U59">
            <v>800</v>
          </cell>
          <cell r="V59">
            <v>800</v>
          </cell>
          <cell r="W59">
            <v>800</v>
          </cell>
        </row>
        <row r="60">
          <cell r="A60" t="str">
            <v>Vor</v>
          </cell>
          <cell r="C60">
            <v>800</v>
          </cell>
          <cell r="D60">
            <v>800</v>
          </cell>
          <cell r="E60">
            <v>800</v>
          </cell>
          <cell r="F60">
            <v>800</v>
          </cell>
          <cell r="G60">
            <v>800</v>
          </cell>
          <cell r="H60">
            <v>800</v>
          </cell>
          <cell r="I60">
            <v>800</v>
          </cell>
          <cell r="J60">
            <v>800</v>
          </cell>
          <cell r="K60">
            <v>800</v>
          </cell>
          <cell r="L60">
            <v>800</v>
          </cell>
          <cell r="M60">
            <v>800</v>
          </cell>
          <cell r="N60">
            <v>800</v>
          </cell>
          <cell r="P60">
            <v>800</v>
          </cell>
          <cell r="Q60">
            <v>800</v>
          </cell>
          <cell r="R60">
            <v>800</v>
          </cell>
          <cell r="S60">
            <v>800</v>
          </cell>
          <cell r="U60">
            <v>800</v>
          </cell>
          <cell r="V60">
            <v>800</v>
          </cell>
          <cell r="W60">
            <v>800</v>
          </cell>
        </row>
        <row r="61">
          <cell r="A61" t="str">
            <v>97#1</v>
          </cell>
          <cell r="C61">
            <v>800</v>
          </cell>
          <cell r="D61">
            <v>800</v>
          </cell>
          <cell r="E61">
            <v>800</v>
          </cell>
          <cell r="F61">
            <v>800</v>
          </cell>
          <cell r="G61">
            <v>800</v>
          </cell>
          <cell r="H61">
            <v>800</v>
          </cell>
          <cell r="I61">
            <v>800</v>
          </cell>
          <cell r="J61">
            <v>800</v>
          </cell>
          <cell r="K61">
            <v>800</v>
          </cell>
          <cell r="L61">
            <v>800</v>
          </cell>
          <cell r="M61">
            <v>800</v>
          </cell>
          <cell r="N61">
            <v>800</v>
          </cell>
          <cell r="P61">
            <v>800</v>
          </cell>
          <cell r="Q61">
            <v>800</v>
          </cell>
          <cell r="R61">
            <v>800</v>
          </cell>
          <cell r="S61">
            <v>800</v>
          </cell>
          <cell r="U61">
            <v>800</v>
          </cell>
          <cell r="V61">
            <v>800</v>
          </cell>
          <cell r="W61">
            <v>800</v>
          </cell>
        </row>
        <row r="62">
          <cell r="A62" t="str">
            <v>97#2</v>
          </cell>
          <cell r="C62">
            <v>800</v>
          </cell>
          <cell r="D62">
            <v>800</v>
          </cell>
          <cell r="E62">
            <v>800</v>
          </cell>
          <cell r="F62">
            <v>800</v>
          </cell>
          <cell r="G62">
            <v>800</v>
          </cell>
          <cell r="H62">
            <v>800</v>
          </cell>
          <cell r="I62">
            <v>800</v>
          </cell>
          <cell r="J62">
            <v>800</v>
          </cell>
          <cell r="K62">
            <v>800</v>
          </cell>
          <cell r="L62">
            <v>800</v>
          </cell>
          <cell r="M62">
            <v>800</v>
          </cell>
          <cell r="N62">
            <v>800</v>
          </cell>
          <cell r="P62">
            <v>800</v>
          </cell>
          <cell r="Q62">
            <v>800</v>
          </cell>
          <cell r="R62">
            <v>800</v>
          </cell>
          <cell r="S62">
            <v>800</v>
          </cell>
          <cell r="U62">
            <v>800</v>
          </cell>
          <cell r="V62">
            <v>800</v>
          </cell>
          <cell r="W62">
            <v>800</v>
          </cell>
        </row>
        <row r="63">
          <cell r="A63" t="str">
            <v>98#1</v>
          </cell>
          <cell r="C63">
            <v>800</v>
          </cell>
          <cell r="D63">
            <v>800</v>
          </cell>
          <cell r="E63">
            <v>800</v>
          </cell>
          <cell r="F63">
            <v>800</v>
          </cell>
          <cell r="G63">
            <v>800</v>
          </cell>
          <cell r="H63">
            <v>800</v>
          </cell>
          <cell r="I63">
            <v>800</v>
          </cell>
          <cell r="J63">
            <v>800</v>
          </cell>
          <cell r="K63">
            <v>800</v>
          </cell>
          <cell r="L63">
            <v>800</v>
          </cell>
          <cell r="M63">
            <v>800</v>
          </cell>
          <cell r="N63">
            <v>800</v>
          </cell>
          <cell r="P63">
            <v>800</v>
          </cell>
          <cell r="Q63">
            <v>800</v>
          </cell>
          <cell r="R63">
            <v>800</v>
          </cell>
          <cell r="S63">
            <v>800</v>
          </cell>
          <cell r="U63">
            <v>800</v>
          </cell>
          <cell r="V63">
            <v>800</v>
          </cell>
          <cell r="W63">
            <v>800</v>
          </cell>
        </row>
        <row r="64">
          <cell r="A64" t="str">
            <v>98#2</v>
          </cell>
          <cell r="C64">
            <v>800</v>
          </cell>
          <cell r="D64">
            <v>800</v>
          </cell>
          <cell r="E64">
            <v>800</v>
          </cell>
          <cell r="F64">
            <v>800</v>
          </cell>
          <cell r="G64">
            <v>800</v>
          </cell>
          <cell r="H64">
            <v>800</v>
          </cell>
          <cell r="I64">
            <v>800</v>
          </cell>
          <cell r="J64">
            <v>800</v>
          </cell>
          <cell r="K64">
            <v>800</v>
          </cell>
          <cell r="L64">
            <v>800</v>
          </cell>
          <cell r="M64">
            <v>800</v>
          </cell>
          <cell r="N64">
            <v>800</v>
          </cell>
          <cell r="P64">
            <v>800</v>
          </cell>
          <cell r="Q64">
            <v>800</v>
          </cell>
          <cell r="R64">
            <v>800</v>
          </cell>
          <cell r="S64">
            <v>800</v>
          </cell>
          <cell r="U64">
            <v>800</v>
          </cell>
          <cell r="V64">
            <v>800</v>
          </cell>
          <cell r="W64">
            <v>800</v>
          </cell>
        </row>
        <row r="65">
          <cell r="A65" t="str">
            <v>Mos</v>
          </cell>
        </row>
        <row r="66">
          <cell r="A66" t="str">
            <v>Con</v>
          </cell>
          <cell r="C66">
            <v>930</v>
          </cell>
          <cell r="D66">
            <v>930</v>
          </cell>
          <cell r="E66">
            <v>930</v>
          </cell>
          <cell r="F66">
            <v>930</v>
          </cell>
          <cell r="G66">
            <v>930</v>
          </cell>
          <cell r="H66">
            <v>930</v>
          </cell>
          <cell r="I66">
            <v>930</v>
          </cell>
          <cell r="J66">
            <v>890</v>
          </cell>
          <cell r="K66">
            <v>890</v>
          </cell>
          <cell r="L66">
            <v>890</v>
          </cell>
          <cell r="M66">
            <v>890</v>
          </cell>
          <cell r="N66">
            <v>890</v>
          </cell>
          <cell r="P66">
            <v>890</v>
          </cell>
          <cell r="Q66">
            <v>890</v>
          </cell>
          <cell r="R66">
            <v>890</v>
          </cell>
          <cell r="S66">
            <v>890</v>
          </cell>
          <cell r="U66">
            <v>890</v>
          </cell>
          <cell r="V66">
            <v>890</v>
          </cell>
          <cell r="W66">
            <v>890</v>
          </cell>
        </row>
        <row r="68">
          <cell r="A68" t="str">
            <v>WCD/RCD Monthly fee</v>
          </cell>
        </row>
        <row r="69">
          <cell r="B69">
            <v>35765</v>
          </cell>
          <cell r="C69">
            <v>35796</v>
          </cell>
          <cell r="D69">
            <v>35827</v>
          </cell>
          <cell r="E69">
            <v>35855</v>
          </cell>
          <cell r="F69">
            <v>35886</v>
          </cell>
          <cell r="G69">
            <v>35916</v>
          </cell>
          <cell r="H69">
            <v>35947</v>
          </cell>
          <cell r="I69">
            <v>35977</v>
          </cell>
          <cell r="J69">
            <v>36008</v>
          </cell>
          <cell r="K69">
            <v>36039</v>
          </cell>
          <cell r="L69">
            <v>36069</v>
          </cell>
          <cell r="M69">
            <v>36100</v>
          </cell>
          <cell r="N69">
            <v>36130</v>
          </cell>
          <cell r="O69" t="str">
            <v>Total 98</v>
          </cell>
          <cell r="P69" t="str">
            <v>Q1-99</v>
          </cell>
          <cell r="Q69" t="str">
            <v>Q2-99</v>
          </cell>
          <cell r="R69" t="str">
            <v>Q3-99</v>
          </cell>
          <cell r="S69" t="str">
            <v>Q4-99</v>
          </cell>
          <cell r="T69" t="str">
            <v>Total 99</v>
          </cell>
          <cell r="U69">
            <v>2000</v>
          </cell>
          <cell r="V69">
            <v>2001</v>
          </cell>
          <cell r="W69">
            <v>2002</v>
          </cell>
        </row>
        <row r="70">
          <cell r="A70" t="str">
            <v>Ark</v>
          </cell>
          <cell r="C70">
            <v>40</v>
          </cell>
          <cell r="D70">
            <v>40</v>
          </cell>
          <cell r="E70">
            <v>40</v>
          </cell>
          <cell r="F70">
            <v>40</v>
          </cell>
          <cell r="G70">
            <v>35</v>
          </cell>
          <cell r="H70">
            <v>35</v>
          </cell>
          <cell r="I70">
            <v>35</v>
          </cell>
          <cell r="J70">
            <v>35</v>
          </cell>
          <cell r="K70">
            <v>35</v>
          </cell>
          <cell r="L70">
            <v>35</v>
          </cell>
          <cell r="M70">
            <v>35</v>
          </cell>
          <cell r="N70">
            <v>35</v>
          </cell>
          <cell r="P70">
            <v>35</v>
          </cell>
          <cell r="Q70">
            <v>35</v>
          </cell>
          <cell r="R70">
            <v>35</v>
          </cell>
          <cell r="S70">
            <v>35</v>
          </cell>
          <cell r="U70">
            <v>35</v>
          </cell>
          <cell r="V70">
            <v>35</v>
          </cell>
          <cell r="W70">
            <v>35</v>
          </cell>
        </row>
        <row r="71">
          <cell r="A71" t="str">
            <v>Eka</v>
          </cell>
          <cell r="C71">
            <v>30</v>
          </cell>
          <cell r="D71">
            <v>30</v>
          </cell>
          <cell r="E71">
            <v>30</v>
          </cell>
          <cell r="F71">
            <v>30</v>
          </cell>
          <cell r="G71">
            <v>30</v>
          </cell>
          <cell r="H71">
            <v>30</v>
          </cell>
          <cell r="I71">
            <v>30</v>
          </cell>
          <cell r="J71">
            <v>30</v>
          </cell>
          <cell r="K71">
            <v>30</v>
          </cell>
          <cell r="L71">
            <v>30</v>
          </cell>
          <cell r="M71">
            <v>30</v>
          </cell>
          <cell r="N71">
            <v>30</v>
          </cell>
          <cell r="P71">
            <v>30</v>
          </cell>
          <cell r="Q71">
            <v>30</v>
          </cell>
          <cell r="R71">
            <v>30</v>
          </cell>
          <cell r="S71">
            <v>30</v>
          </cell>
          <cell r="U71">
            <v>30</v>
          </cell>
          <cell r="V71">
            <v>30</v>
          </cell>
          <cell r="W71">
            <v>30</v>
          </cell>
        </row>
        <row r="72">
          <cell r="A72" t="str">
            <v>Irk</v>
          </cell>
          <cell r="C72">
            <v>25</v>
          </cell>
          <cell r="D72">
            <v>25</v>
          </cell>
          <cell r="E72">
            <v>25</v>
          </cell>
          <cell r="F72">
            <v>25</v>
          </cell>
          <cell r="G72">
            <v>25</v>
          </cell>
          <cell r="H72">
            <v>25</v>
          </cell>
          <cell r="I72">
            <v>25</v>
          </cell>
          <cell r="J72">
            <v>25</v>
          </cell>
          <cell r="K72">
            <v>25</v>
          </cell>
          <cell r="L72">
            <v>25</v>
          </cell>
          <cell r="M72">
            <v>25</v>
          </cell>
          <cell r="N72">
            <v>25</v>
          </cell>
          <cell r="P72">
            <v>15</v>
          </cell>
          <cell r="Q72">
            <v>15</v>
          </cell>
          <cell r="R72">
            <v>15</v>
          </cell>
          <cell r="S72">
            <v>15</v>
          </cell>
          <cell r="U72">
            <v>15</v>
          </cell>
          <cell r="V72">
            <v>15</v>
          </cell>
          <cell r="W72">
            <v>15</v>
          </cell>
        </row>
        <row r="73">
          <cell r="A73" t="str">
            <v>Kha</v>
          </cell>
          <cell r="C73">
            <v>30</v>
          </cell>
          <cell r="D73">
            <v>30</v>
          </cell>
          <cell r="E73">
            <v>30</v>
          </cell>
          <cell r="F73">
            <v>30</v>
          </cell>
          <cell r="G73">
            <v>30</v>
          </cell>
          <cell r="H73">
            <v>30</v>
          </cell>
          <cell r="I73">
            <v>30</v>
          </cell>
          <cell r="J73">
            <v>30</v>
          </cell>
          <cell r="K73">
            <v>30</v>
          </cell>
          <cell r="L73">
            <v>30</v>
          </cell>
          <cell r="M73">
            <v>30</v>
          </cell>
          <cell r="N73">
            <v>30</v>
          </cell>
          <cell r="P73">
            <v>35</v>
          </cell>
          <cell r="Q73">
            <v>35</v>
          </cell>
          <cell r="R73">
            <v>35</v>
          </cell>
          <cell r="S73">
            <v>35</v>
          </cell>
          <cell r="U73">
            <v>35</v>
          </cell>
          <cell r="V73">
            <v>35</v>
          </cell>
          <cell r="W73">
            <v>35</v>
          </cell>
        </row>
        <row r="74">
          <cell r="A74" t="str">
            <v>Kra</v>
          </cell>
          <cell r="C74">
            <v>25</v>
          </cell>
          <cell r="D74">
            <v>25</v>
          </cell>
          <cell r="E74">
            <v>25</v>
          </cell>
          <cell r="F74">
            <v>25</v>
          </cell>
          <cell r="G74">
            <v>25</v>
          </cell>
          <cell r="H74">
            <v>25</v>
          </cell>
          <cell r="I74">
            <v>25</v>
          </cell>
          <cell r="J74">
            <v>25</v>
          </cell>
          <cell r="K74">
            <v>25</v>
          </cell>
          <cell r="L74">
            <v>25</v>
          </cell>
          <cell r="M74">
            <v>25</v>
          </cell>
          <cell r="N74">
            <v>25</v>
          </cell>
          <cell r="P74">
            <v>25</v>
          </cell>
          <cell r="Q74">
            <v>25</v>
          </cell>
          <cell r="R74">
            <v>25</v>
          </cell>
          <cell r="S74">
            <v>25</v>
          </cell>
          <cell r="U74">
            <v>25</v>
          </cell>
          <cell r="V74">
            <v>25</v>
          </cell>
          <cell r="W74">
            <v>25</v>
          </cell>
        </row>
        <row r="75">
          <cell r="A75" t="str">
            <v>Niz</v>
          </cell>
          <cell r="C75">
            <v>35</v>
          </cell>
          <cell r="D75">
            <v>35</v>
          </cell>
          <cell r="E75">
            <v>35</v>
          </cell>
          <cell r="F75">
            <v>35</v>
          </cell>
          <cell r="G75">
            <v>35</v>
          </cell>
          <cell r="H75">
            <v>35</v>
          </cell>
          <cell r="I75">
            <v>35</v>
          </cell>
          <cell r="J75">
            <v>35</v>
          </cell>
          <cell r="K75">
            <v>35</v>
          </cell>
          <cell r="L75">
            <v>35</v>
          </cell>
          <cell r="M75">
            <v>35</v>
          </cell>
          <cell r="N75">
            <v>35</v>
          </cell>
          <cell r="P75">
            <v>35</v>
          </cell>
          <cell r="Q75">
            <v>35</v>
          </cell>
          <cell r="R75">
            <v>35</v>
          </cell>
          <cell r="S75">
            <v>35</v>
          </cell>
          <cell r="U75">
            <v>35</v>
          </cell>
          <cell r="V75">
            <v>35</v>
          </cell>
          <cell r="W75">
            <v>35</v>
          </cell>
        </row>
        <row r="76">
          <cell r="A76" t="str">
            <v>Nov</v>
          </cell>
          <cell r="C76">
            <v>35</v>
          </cell>
          <cell r="D76">
            <v>35</v>
          </cell>
          <cell r="E76">
            <v>35</v>
          </cell>
          <cell r="F76">
            <v>35</v>
          </cell>
          <cell r="G76">
            <v>35</v>
          </cell>
          <cell r="H76">
            <v>35</v>
          </cell>
          <cell r="I76">
            <v>35</v>
          </cell>
          <cell r="J76">
            <v>35</v>
          </cell>
          <cell r="K76">
            <v>35</v>
          </cell>
          <cell r="L76">
            <v>35</v>
          </cell>
          <cell r="M76">
            <v>35</v>
          </cell>
          <cell r="N76">
            <v>35</v>
          </cell>
          <cell r="P76">
            <v>50</v>
          </cell>
          <cell r="Q76">
            <v>50</v>
          </cell>
          <cell r="R76">
            <v>50</v>
          </cell>
          <cell r="S76">
            <v>50</v>
          </cell>
          <cell r="U76">
            <v>50</v>
          </cell>
          <cell r="V76">
            <v>50</v>
          </cell>
          <cell r="W76">
            <v>50</v>
          </cell>
        </row>
        <row r="77">
          <cell r="A77" t="str">
            <v>Syk</v>
          </cell>
          <cell r="C77">
            <v>35</v>
          </cell>
          <cell r="D77">
            <v>35</v>
          </cell>
          <cell r="E77">
            <v>35</v>
          </cell>
          <cell r="F77">
            <v>35</v>
          </cell>
          <cell r="G77">
            <v>35</v>
          </cell>
          <cell r="H77">
            <v>35</v>
          </cell>
          <cell r="I77">
            <v>35</v>
          </cell>
          <cell r="J77">
            <v>35</v>
          </cell>
          <cell r="K77">
            <v>35</v>
          </cell>
          <cell r="L77">
            <v>35</v>
          </cell>
          <cell r="M77">
            <v>35</v>
          </cell>
          <cell r="N77">
            <v>35</v>
          </cell>
          <cell r="P77">
            <v>35</v>
          </cell>
          <cell r="Q77">
            <v>35</v>
          </cell>
          <cell r="R77">
            <v>35</v>
          </cell>
          <cell r="S77">
            <v>35</v>
          </cell>
          <cell r="U77">
            <v>35</v>
          </cell>
          <cell r="V77">
            <v>35</v>
          </cell>
          <cell r="W77">
            <v>35</v>
          </cell>
        </row>
        <row r="78">
          <cell r="A78" t="str">
            <v>Tyu</v>
          </cell>
          <cell r="C78">
            <v>20</v>
          </cell>
          <cell r="D78">
            <v>20</v>
          </cell>
          <cell r="E78">
            <v>20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>
            <v>20</v>
          </cell>
          <cell r="L78">
            <v>20</v>
          </cell>
          <cell r="M78">
            <v>20</v>
          </cell>
          <cell r="N78">
            <v>20</v>
          </cell>
          <cell r="P78">
            <v>25</v>
          </cell>
          <cell r="Q78">
            <v>25</v>
          </cell>
          <cell r="R78">
            <v>25</v>
          </cell>
          <cell r="S78">
            <v>25</v>
          </cell>
          <cell r="U78">
            <v>25</v>
          </cell>
          <cell r="V78">
            <v>25</v>
          </cell>
          <cell r="W78">
            <v>25</v>
          </cell>
        </row>
        <row r="79">
          <cell r="A79" t="str">
            <v>Ufa</v>
          </cell>
          <cell r="C79">
            <v>25</v>
          </cell>
          <cell r="D79">
            <v>25</v>
          </cell>
          <cell r="E79">
            <v>25</v>
          </cell>
          <cell r="F79">
            <v>25</v>
          </cell>
          <cell r="G79">
            <v>25</v>
          </cell>
          <cell r="H79">
            <v>25</v>
          </cell>
          <cell r="I79">
            <v>25</v>
          </cell>
          <cell r="J79">
            <v>25</v>
          </cell>
          <cell r="K79">
            <v>25</v>
          </cell>
          <cell r="L79">
            <v>25</v>
          </cell>
          <cell r="M79">
            <v>25</v>
          </cell>
          <cell r="N79">
            <v>25</v>
          </cell>
          <cell r="P79">
            <v>25</v>
          </cell>
          <cell r="Q79">
            <v>25</v>
          </cell>
          <cell r="R79">
            <v>25</v>
          </cell>
          <cell r="S79">
            <v>25</v>
          </cell>
          <cell r="U79">
            <v>25</v>
          </cell>
          <cell r="V79">
            <v>25</v>
          </cell>
          <cell r="W79">
            <v>25</v>
          </cell>
        </row>
        <row r="80">
          <cell r="A80" t="str">
            <v>Vla</v>
          </cell>
          <cell r="C80">
            <v>30</v>
          </cell>
          <cell r="D80">
            <v>30</v>
          </cell>
          <cell r="E80">
            <v>30</v>
          </cell>
          <cell r="F80">
            <v>30</v>
          </cell>
          <cell r="G80">
            <v>30</v>
          </cell>
          <cell r="H80">
            <v>30</v>
          </cell>
          <cell r="I80">
            <v>30</v>
          </cell>
          <cell r="J80">
            <v>30</v>
          </cell>
          <cell r="K80">
            <v>30</v>
          </cell>
          <cell r="L80">
            <v>30</v>
          </cell>
          <cell r="M80">
            <v>30</v>
          </cell>
          <cell r="N80">
            <v>30</v>
          </cell>
          <cell r="P80">
            <v>25</v>
          </cell>
          <cell r="Q80">
            <v>25</v>
          </cell>
          <cell r="R80">
            <v>25</v>
          </cell>
          <cell r="S80">
            <v>25</v>
          </cell>
          <cell r="U80">
            <v>25</v>
          </cell>
          <cell r="V80">
            <v>25</v>
          </cell>
          <cell r="W80">
            <v>25</v>
          </cell>
        </row>
        <row r="81">
          <cell r="A81" t="str">
            <v>Vol</v>
          </cell>
          <cell r="C81">
            <v>25</v>
          </cell>
          <cell r="D81">
            <v>25</v>
          </cell>
          <cell r="E81">
            <v>25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P81">
            <v>25</v>
          </cell>
          <cell r="Q81">
            <v>25</v>
          </cell>
          <cell r="R81">
            <v>25</v>
          </cell>
          <cell r="S81">
            <v>25</v>
          </cell>
          <cell r="U81">
            <v>25</v>
          </cell>
          <cell r="V81">
            <v>25</v>
          </cell>
          <cell r="W81">
            <v>25</v>
          </cell>
        </row>
        <row r="82">
          <cell r="A82" t="str">
            <v>Vor</v>
          </cell>
          <cell r="C82">
            <v>20</v>
          </cell>
          <cell r="D82">
            <v>20</v>
          </cell>
          <cell r="E82">
            <v>20</v>
          </cell>
          <cell r="F82">
            <v>20</v>
          </cell>
          <cell r="G82">
            <v>20</v>
          </cell>
          <cell r="H82">
            <v>20</v>
          </cell>
          <cell r="I82">
            <v>20</v>
          </cell>
          <cell r="J82">
            <v>20</v>
          </cell>
          <cell r="K82">
            <v>20</v>
          </cell>
          <cell r="L82">
            <v>20</v>
          </cell>
          <cell r="M82">
            <v>20</v>
          </cell>
          <cell r="N82">
            <v>20</v>
          </cell>
          <cell r="P82">
            <v>20</v>
          </cell>
          <cell r="Q82">
            <v>20</v>
          </cell>
          <cell r="R82">
            <v>20</v>
          </cell>
          <cell r="S82">
            <v>20</v>
          </cell>
          <cell r="U82">
            <v>20</v>
          </cell>
          <cell r="V82">
            <v>20</v>
          </cell>
          <cell r="W82">
            <v>20</v>
          </cell>
        </row>
        <row r="83">
          <cell r="A83" t="str">
            <v>97#1</v>
          </cell>
          <cell r="C83">
            <v>25</v>
          </cell>
          <cell r="D83">
            <v>25</v>
          </cell>
          <cell r="E83">
            <v>25</v>
          </cell>
          <cell r="F83">
            <v>25</v>
          </cell>
          <cell r="G83">
            <v>25</v>
          </cell>
          <cell r="H83">
            <v>25</v>
          </cell>
          <cell r="I83">
            <v>25</v>
          </cell>
          <cell r="J83">
            <v>25</v>
          </cell>
          <cell r="K83">
            <v>25</v>
          </cell>
          <cell r="L83">
            <v>25</v>
          </cell>
          <cell r="M83">
            <v>25</v>
          </cell>
          <cell r="N83">
            <v>25</v>
          </cell>
          <cell r="P83">
            <v>25</v>
          </cell>
          <cell r="Q83">
            <v>25</v>
          </cell>
          <cell r="R83">
            <v>25</v>
          </cell>
          <cell r="S83">
            <v>25</v>
          </cell>
          <cell r="U83">
            <v>25</v>
          </cell>
          <cell r="V83">
            <v>25</v>
          </cell>
          <cell r="W83">
            <v>25</v>
          </cell>
        </row>
        <row r="84">
          <cell r="A84" t="str">
            <v>97#2</v>
          </cell>
          <cell r="C84">
            <v>20</v>
          </cell>
          <cell r="D84">
            <v>20</v>
          </cell>
          <cell r="E84">
            <v>20</v>
          </cell>
          <cell r="F84">
            <v>20</v>
          </cell>
          <cell r="G84">
            <v>20</v>
          </cell>
          <cell r="H84">
            <v>20</v>
          </cell>
          <cell r="I84">
            <v>20</v>
          </cell>
          <cell r="J84">
            <v>20</v>
          </cell>
          <cell r="K84">
            <v>20</v>
          </cell>
          <cell r="L84">
            <v>20</v>
          </cell>
          <cell r="M84">
            <v>20</v>
          </cell>
          <cell r="N84">
            <v>20</v>
          </cell>
          <cell r="P84">
            <v>20</v>
          </cell>
          <cell r="Q84">
            <v>20</v>
          </cell>
          <cell r="R84">
            <v>20</v>
          </cell>
          <cell r="S84">
            <v>20</v>
          </cell>
          <cell r="U84">
            <v>20</v>
          </cell>
          <cell r="V84">
            <v>20</v>
          </cell>
          <cell r="W84">
            <v>20</v>
          </cell>
        </row>
        <row r="85">
          <cell r="A85" t="str">
            <v>98#1</v>
          </cell>
          <cell r="C85">
            <v>20</v>
          </cell>
          <cell r="D85">
            <v>20</v>
          </cell>
          <cell r="E85">
            <v>20</v>
          </cell>
          <cell r="F85">
            <v>20</v>
          </cell>
          <cell r="G85">
            <v>20</v>
          </cell>
          <cell r="H85">
            <v>20</v>
          </cell>
          <cell r="I85">
            <v>20</v>
          </cell>
          <cell r="J85">
            <v>20</v>
          </cell>
          <cell r="K85">
            <v>20</v>
          </cell>
          <cell r="L85">
            <v>20</v>
          </cell>
          <cell r="M85">
            <v>20</v>
          </cell>
          <cell r="N85">
            <v>20</v>
          </cell>
          <cell r="P85">
            <v>20</v>
          </cell>
          <cell r="Q85">
            <v>20</v>
          </cell>
          <cell r="R85">
            <v>20</v>
          </cell>
          <cell r="S85">
            <v>20</v>
          </cell>
          <cell r="U85">
            <v>20</v>
          </cell>
          <cell r="V85">
            <v>20</v>
          </cell>
          <cell r="W85">
            <v>20</v>
          </cell>
        </row>
        <row r="86">
          <cell r="A86" t="str">
            <v>98#2</v>
          </cell>
          <cell r="C86">
            <v>20</v>
          </cell>
          <cell r="D86">
            <v>20</v>
          </cell>
          <cell r="E86">
            <v>20</v>
          </cell>
          <cell r="F86">
            <v>20</v>
          </cell>
          <cell r="G86">
            <v>20</v>
          </cell>
          <cell r="H86">
            <v>20</v>
          </cell>
          <cell r="I86">
            <v>20</v>
          </cell>
          <cell r="J86">
            <v>20</v>
          </cell>
          <cell r="K86">
            <v>20</v>
          </cell>
          <cell r="L86">
            <v>20</v>
          </cell>
          <cell r="M86">
            <v>20</v>
          </cell>
          <cell r="N86">
            <v>20</v>
          </cell>
          <cell r="P86">
            <v>20</v>
          </cell>
          <cell r="Q86">
            <v>20</v>
          </cell>
          <cell r="R86">
            <v>20</v>
          </cell>
          <cell r="S86">
            <v>20</v>
          </cell>
          <cell r="U86">
            <v>20</v>
          </cell>
          <cell r="V86">
            <v>20</v>
          </cell>
          <cell r="W86">
            <v>20</v>
          </cell>
        </row>
        <row r="87">
          <cell r="A87" t="str">
            <v>Mos</v>
          </cell>
        </row>
        <row r="88">
          <cell r="A88" t="str">
            <v>Con</v>
          </cell>
          <cell r="C88">
            <v>31</v>
          </cell>
          <cell r="D88">
            <v>31.153846153846153</v>
          </cell>
          <cell r="E88">
            <v>31.153846153846153</v>
          </cell>
          <cell r="F88">
            <v>31.153846153846153</v>
          </cell>
          <cell r="G88">
            <v>31.153846153846153</v>
          </cell>
          <cell r="H88">
            <v>31.153846153846153</v>
          </cell>
          <cell r="I88">
            <v>31.153846153846153</v>
          </cell>
          <cell r="J88">
            <v>31.153846153846153</v>
          </cell>
          <cell r="K88">
            <v>31.153846153846153</v>
          </cell>
          <cell r="L88">
            <v>31.153846153846153</v>
          </cell>
          <cell r="M88">
            <v>31.153846153846153</v>
          </cell>
          <cell r="N88">
            <v>31.153846153846153</v>
          </cell>
          <cell r="P88">
            <v>31.153846153846153</v>
          </cell>
          <cell r="Q88">
            <v>31.153846153846153</v>
          </cell>
          <cell r="R88">
            <v>31.153846153846153</v>
          </cell>
          <cell r="S88">
            <v>31.153846153846153</v>
          </cell>
          <cell r="U88">
            <v>31.153846153846153</v>
          </cell>
          <cell r="V88">
            <v>31.153846153846153</v>
          </cell>
          <cell r="W88">
            <v>31.153846153846153</v>
          </cell>
        </row>
        <row r="90">
          <cell r="A90" t="str">
            <v>WCD/RCD Number of intercity minutes per line</v>
          </cell>
        </row>
        <row r="91">
          <cell r="B91">
            <v>35765</v>
          </cell>
          <cell r="C91">
            <v>35796</v>
          </cell>
          <cell r="D91">
            <v>35827</v>
          </cell>
          <cell r="E91">
            <v>35855</v>
          </cell>
          <cell r="F91">
            <v>35886</v>
          </cell>
          <cell r="G91">
            <v>35916</v>
          </cell>
          <cell r="H91">
            <v>35947</v>
          </cell>
          <cell r="I91">
            <v>35977</v>
          </cell>
          <cell r="J91">
            <v>36008</v>
          </cell>
          <cell r="K91">
            <v>36039</v>
          </cell>
          <cell r="L91">
            <v>36069</v>
          </cell>
          <cell r="M91">
            <v>36100</v>
          </cell>
          <cell r="N91">
            <v>36130</v>
          </cell>
          <cell r="O91" t="str">
            <v>Total 98</v>
          </cell>
          <cell r="P91" t="str">
            <v>Q1-99</v>
          </cell>
          <cell r="Q91" t="str">
            <v>Q2-99</v>
          </cell>
          <cell r="R91" t="str">
            <v>Q3-99</v>
          </cell>
          <cell r="S91" t="str">
            <v>Q4-99</v>
          </cell>
          <cell r="T91" t="str">
            <v>Total 99</v>
          </cell>
          <cell r="U91">
            <v>2000</v>
          </cell>
          <cell r="V91">
            <v>2001</v>
          </cell>
          <cell r="W91">
            <v>2002</v>
          </cell>
        </row>
        <row r="92">
          <cell r="A92" t="str">
            <v>Ark</v>
          </cell>
          <cell r="B92">
            <v>350</v>
          </cell>
          <cell r="C92">
            <v>175</v>
          </cell>
          <cell r="D92">
            <v>350</v>
          </cell>
          <cell r="E92">
            <v>350</v>
          </cell>
          <cell r="F92">
            <v>350</v>
          </cell>
          <cell r="G92">
            <v>262.5</v>
          </cell>
          <cell r="H92">
            <v>350</v>
          </cell>
          <cell r="I92">
            <v>300</v>
          </cell>
          <cell r="J92">
            <v>300</v>
          </cell>
          <cell r="K92">
            <v>300</v>
          </cell>
          <cell r="L92">
            <v>300</v>
          </cell>
          <cell r="M92">
            <v>300</v>
          </cell>
          <cell r="N92">
            <v>300</v>
          </cell>
          <cell r="P92">
            <v>315</v>
          </cell>
          <cell r="Q92">
            <v>330.75</v>
          </cell>
          <cell r="R92">
            <v>347.28750000000002</v>
          </cell>
          <cell r="S92">
            <v>364.65187500000002</v>
          </cell>
          <cell r="U92">
            <v>401.11706250000003</v>
          </cell>
          <cell r="V92">
            <v>437.21759812500005</v>
          </cell>
          <cell r="W92">
            <v>437.21759812500005</v>
          </cell>
        </row>
        <row r="93">
          <cell r="A93" t="str">
            <v>Eka</v>
          </cell>
          <cell r="B93">
            <v>250</v>
          </cell>
          <cell r="C93">
            <v>125</v>
          </cell>
          <cell r="D93">
            <v>250</v>
          </cell>
          <cell r="E93">
            <v>250</v>
          </cell>
          <cell r="F93">
            <v>250</v>
          </cell>
          <cell r="G93">
            <v>187.5</v>
          </cell>
          <cell r="H93">
            <v>250</v>
          </cell>
          <cell r="I93">
            <v>230</v>
          </cell>
          <cell r="J93">
            <v>230</v>
          </cell>
          <cell r="K93">
            <v>230</v>
          </cell>
          <cell r="L93">
            <v>230</v>
          </cell>
          <cell r="M93">
            <v>230</v>
          </cell>
          <cell r="N93">
            <v>230</v>
          </cell>
          <cell r="P93">
            <v>241.5</v>
          </cell>
          <cell r="Q93">
            <v>253.57500000000002</v>
          </cell>
          <cell r="R93">
            <v>266.25375000000003</v>
          </cell>
          <cell r="S93">
            <v>279.56643750000006</v>
          </cell>
          <cell r="U93">
            <v>307.52308125000008</v>
          </cell>
          <cell r="V93">
            <v>335.20015856250012</v>
          </cell>
          <cell r="W93">
            <v>335.20015856250012</v>
          </cell>
        </row>
        <row r="94">
          <cell r="A94" t="str">
            <v>Irk</v>
          </cell>
          <cell r="B94">
            <v>300</v>
          </cell>
          <cell r="C94">
            <v>150</v>
          </cell>
          <cell r="D94">
            <v>300</v>
          </cell>
          <cell r="E94">
            <v>300</v>
          </cell>
          <cell r="F94">
            <v>300</v>
          </cell>
          <cell r="G94">
            <v>225</v>
          </cell>
          <cell r="H94">
            <v>280</v>
          </cell>
          <cell r="I94">
            <v>280</v>
          </cell>
          <cell r="J94">
            <v>280</v>
          </cell>
          <cell r="K94">
            <v>280</v>
          </cell>
          <cell r="L94">
            <v>280</v>
          </cell>
          <cell r="M94">
            <v>280</v>
          </cell>
          <cell r="N94">
            <v>280</v>
          </cell>
          <cell r="P94">
            <v>294</v>
          </cell>
          <cell r="Q94">
            <v>308.7</v>
          </cell>
          <cell r="R94">
            <v>324.13499999999999</v>
          </cell>
          <cell r="S94">
            <v>340.34174999999999</v>
          </cell>
          <cell r="U94">
            <v>374.375925</v>
          </cell>
          <cell r="V94">
            <v>408.06975825000001</v>
          </cell>
          <cell r="W94">
            <v>408.06975825000001</v>
          </cell>
        </row>
        <row r="95">
          <cell r="A95" t="str">
            <v>Kha</v>
          </cell>
          <cell r="B95">
            <v>250</v>
          </cell>
          <cell r="C95">
            <v>125</v>
          </cell>
          <cell r="D95">
            <v>250</v>
          </cell>
          <cell r="E95">
            <v>250</v>
          </cell>
          <cell r="F95">
            <v>250</v>
          </cell>
          <cell r="G95">
            <v>187.5</v>
          </cell>
          <cell r="H95">
            <v>250</v>
          </cell>
          <cell r="I95">
            <v>250</v>
          </cell>
          <cell r="J95">
            <v>220</v>
          </cell>
          <cell r="K95">
            <v>220</v>
          </cell>
          <cell r="L95">
            <v>220</v>
          </cell>
          <cell r="M95">
            <v>220</v>
          </cell>
          <cell r="N95">
            <v>220</v>
          </cell>
          <cell r="P95">
            <v>231</v>
          </cell>
          <cell r="Q95">
            <v>242.55</v>
          </cell>
          <cell r="R95">
            <v>254.67750000000001</v>
          </cell>
          <cell r="S95">
            <v>267.41137500000002</v>
          </cell>
          <cell r="U95">
            <v>294.15251250000006</v>
          </cell>
          <cell r="V95">
            <v>320.6262386250001</v>
          </cell>
          <cell r="W95">
            <v>320.6262386250001</v>
          </cell>
        </row>
        <row r="96">
          <cell r="A96" t="str">
            <v>Kra</v>
          </cell>
          <cell r="B96">
            <v>280</v>
          </cell>
          <cell r="C96">
            <v>140</v>
          </cell>
          <cell r="D96">
            <v>280</v>
          </cell>
          <cell r="E96">
            <v>280</v>
          </cell>
          <cell r="F96">
            <v>280</v>
          </cell>
          <cell r="G96">
            <v>210</v>
          </cell>
          <cell r="H96">
            <v>280</v>
          </cell>
          <cell r="I96">
            <v>280</v>
          </cell>
          <cell r="J96">
            <v>280</v>
          </cell>
          <cell r="K96">
            <v>280</v>
          </cell>
          <cell r="L96">
            <v>280</v>
          </cell>
          <cell r="M96">
            <v>280</v>
          </cell>
          <cell r="N96">
            <v>280</v>
          </cell>
          <cell r="P96">
            <v>294</v>
          </cell>
          <cell r="Q96">
            <v>308.7</v>
          </cell>
          <cell r="R96">
            <v>324.13499999999999</v>
          </cell>
          <cell r="S96">
            <v>340.34174999999999</v>
          </cell>
          <cell r="U96">
            <v>374.375925</v>
          </cell>
          <cell r="V96">
            <v>408.06975825000001</v>
          </cell>
          <cell r="W96">
            <v>408.06975825000001</v>
          </cell>
        </row>
        <row r="97">
          <cell r="A97" t="str">
            <v>Niz</v>
          </cell>
          <cell r="B97">
            <v>290</v>
          </cell>
          <cell r="C97">
            <v>145</v>
          </cell>
          <cell r="D97">
            <v>290</v>
          </cell>
          <cell r="E97">
            <v>290</v>
          </cell>
          <cell r="F97">
            <v>290</v>
          </cell>
          <cell r="G97">
            <v>217.5</v>
          </cell>
          <cell r="H97">
            <v>290</v>
          </cell>
          <cell r="I97">
            <v>290</v>
          </cell>
          <cell r="J97">
            <v>250</v>
          </cell>
          <cell r="K97">
            <v>250</v>
          </cell>
          <cell r="L97">
            <v>250</v>
          </cell>
          <cell r="M97">
            <v>250</v>
          </cell>
          <cell r="N97">
            <v>250</v>
          </cell>
          <cell r="P97">
            <v>262.5</v>
          </cell>
          <cell r="Q97">
            <v>275.625</v>
          </cell>
          <cell r="R97">
            <v>289.40625</v>
          </cell>
          <cell r="S97">
            <v>303.87656250000003</v>
          </cell>
          <cell r="U97">
            <v>334.26421875000005</v>
          </cell>
          <cell r="V97">
            <v>364.34799843750011</v>
          </cell>
          <cell r="W97">
            <v>364.34799843750011</v>
          </cell>
        </row>
        <row r="98">
          <cell r="A98" t="str">
            <v>Nov</v>
          </cell>
          <cell r="B98">
            <v>250</v>
          </cell>
          <cell r="C98">
            <v>125</v>
          </cell>
          <cell r="D98">
            <v>250</v>
          </cell>
          <cell r="E98">
            <v>250</v>
          </cell>
          <cell r="F98">
            <v>250</v>
          </cell>
          <cell r="G98">
            <v>187.5</v>
          </cell>
          <cell r="H98">
            <v>230</v>
          </cell>
          <cell r="I98">
            <v>230</v>
          </cell>
          <cell r="J98">
            <v>230</v>
          </cell>
          <cell r="K98">
            <v>230</v>
          </cell>
          <cell r="L98">
            <v>230</v>
          </cell>
          <cell r="M98">
            <v>230</v>
          </cell>
          <cell r="N98">
            <v>230</v>
          </cell>
          <cell r="P98">
            <v>230</v>
          </cell>
          <cell r="Q98">
            <v>230</v>
          </cell>
          <cell r="R98">
            <v>230</v>
          </cell>
          <cell r="S98">
            <v>230</v>
          </cell>
          <cell r="U98">
            <v>253.00000000000003</v>
          </cell>
          <cell r="V98">
            <v>275.77000000000004</v>
          </cell>
          <cell r="W98">
            <v>275.77000000000004</v>
          </cell>
        </row>
        <row r="99">
          <cell r="A99" t="str">
            <v>Syk</v>
          </cell>
          <cell r="B99">
            <v>270</v>
          </cell>
          <cell r="C99">
            <v>135</v>
          </cell>
          <cell r="D99">
            <v>270</v>
          </cell>
          <cell r="E99">
            <v>270</v>
          </cell>
          <cell r="F99">
            <v>270</v>
          </cell>
          <cell r="G99">
            <v>202.5</v>
          </cell>
          <cell r="H99">
            <v>250</v>
          </cell>
          <cell r="I99">
            <v>250</v>
          </cell>
          <cell r="J99">
            <v>250</v>
          </cell>
          <cell r="K99">
            <v>250</v>
          </cell>
          <cell r="L99">
            <v>250</v>
          </cell>
          <cell r="M99">
            <v>250</v>
          </cell>
          <cell r="N99">
            <v>250</v>
          </cell>
          <cell r="P99">
            <v>262.5</v>
          </cell>
          <cell r="Q99">
            <v>275.625</v>
          </cell>
          <cell r="R99">
            <v>289.40625</v>
          </cell>
          <cell r="S99">
            <v>303.87656250000003</v>
          </cell>
          <cell r="U99">
            <v>334.26421875000005</v>
          </cell>
          <cell r="V99">
            <v>364.34799843750011</v>
          </cell>
          <cell r="W99">
            <v>364.34799843750011</v>
          </cell>
        </row>
        <row r="100">
          <cell r="A100" t="str">
            <v>Tyu</v>
          </cell>
          <cell r="B100">
            <v>170</v>
          </cell>
          <cell r="C100">
            <v>85</v>
          </cell>
          <cell r="D100">
            <v>170</v>
          </cell>
          <cell r="E100">
            <v>170</v>
          </cell>
          <cell r="F100">
            <v>170</v>
          </cell>
          <cell r="G100">
            <v>127.5</v>
          </cell>
          <cell r="H100">
            <v>160</v>
          </cell>
          <cell r="I100">
            <v>160</v>
          </cell>
          <cell r="J100">
            <v>160</v>
          </cell>
          <cell r="K100">
            <v>160</v>
          </cell>
          <cell r="L100">
            <v>160</v>
          </cell>
          <cell r="M100">
            <v>160</v>
          </cell>
          <cell r="N100">
            <v>150</v>
          </cell>
          <cell r="P100">
            <v>157.5</v>
          </cell>
          <cell r="Q100">
            <v>165.375</v>
          </cell>
          <cell r="R100">
            <v>173.64375000000001</v>
          </cell>
          <cell r="S100">
            <v>182.32593750000001</v>
          </cell>
          <cell r="U100">
            <v>200.55853125000002</v>
          </cell>
          <cell r="V100">
            <v>218.60879906250003</v>
          </cell>
          <cell r="W100">
            <v>218.60879906250003</v>
          </cell>
        </row>
        <row r="101">
          <cell r="A101" t="str">
            <v>Ufa</v>
          </cell>
          <cell r="B101">
            <v>280</v>
          </cell>
          <cell r="C101">
            <v>140</v>
          </cell>
          <cell r="D101">
            <v>280</v>
          </cell>
          <cell r="E101">
            <v>280</v>
          </cell>
          <cell r="F101">
            <v>280</v>
          </cell>
          <cell r="G101">
            <v>210</v>
          </cell>
          <cell r="H101">
            <v>280</v>
          </cell>
          <cell r="I101">
            <v>250</v>
          </cell>
          <cell r="J101">
            <v>250</v>
          </cell>
          <cell r="K101">
            <v>250</v>
          </cell>
          <cell r="L101">
            <v>250</v>
          </cell>
          <cell r="M101">
            <v>250</v>
          </cell>
          <cell r="N101">
            <v>250</v>
          </cell>
          <cell r="P101">
            <v>262.5</v>
          </cell>
          <cell r="Q101">
            <v>275.625</v>
          </cell>
          <cell r="R101">
            <v>289.40625</v>
          </cell>
          <cell r="S101">
            <v>303.87656250000003</v>
          </cell>
          <cell r="U101">
            <v>334.26421875000005</v>
          </cell>
          <cell r="V101">
            <v>364.34799843750011</v>
          </cell>
          <cell r="W101">
            <v>364.34799843750011</v>
          </cell>
        </row>
        <row r="102">
          <cell r="A102" t="str">
            <v>Vla</v>
          </cell>
          <cell r="B102">
            <v>160</v>
          </cell>
          <cell r="C102">
            <v>80</v>
          </cell>
          <cell r="D102">
            <v>160</v>
          </cell>
          <cell r="E102">
            <v>160</v>
          </cell>
          <cell r="F102">
            <v>160</v>
          </cell>
          <cell r="G102">
            <v>120</v>
          </cell>
          <cell r="H102">
            <v>150</v>
          </cell>
          <cell r="I102">
            <v>150</v>
          </cell>
          <cell r="J102">
            <v>150</v>
          </cell>
          <cell r="K102">
            <v>150</v>
          </cell>
          <cell r="L102">
            <v>150</v>
          </cell>
          <cell r="M102">
            <v>150</v>
          </cell>
          <cell r="N102">
            <v>150</v>
          </cell>
          <cell r="P102">
            <v>157.5</v>
          </cell>
          <cell r="Q102">
            <v>165.375</v>
          </cell>
          <cell r="R102">
            <v>173.64375000000001</v>
          </cell>
          <cell r="S102">
            <v>182.32593750000001</v>
          </cell>
          <cell r="U102">
            <v>200.55853125000002</v>
          </cell>
          <cell r="V102">
            <v>218.60879906250003</v>
          </cell>
          <cell r="W102">
            <v>218.60879906250003</v>
          </cell>
        </row>
        <row r="103">
          <cell r="A103" t="str">
            <v>Vol</v>
          </cell>
          <cell r="B103">
            <v>200</v>
          </cell>
          <cell r="C103">
            <v>100</v>
          </cell>
          <cell r="D103">
            <v>200</v>
          </cell>
          <cell r="E103">
            <v>200</v>
          </cell>
          <cell r="F103">
            <v>200</v>
          </cell>
          <cell r="G103">
            <v>150</v>
          </cell>
          <cell r="H103">
            <v>200</v>
          </cell>
          <cell r="I103">
            <v>200</v>
          </cell>
          <cell r="J103">
            <v>200</v>
          </cell>
          <cell r="K103">
            <v>200</v>
          </cell>
          <cell r="L103">
            <v>200</v>
          </cell>
          <cell r="M103">
            <v>200</v>
          </cell>
          <cell r="N103">
            <v>200</v>
          </cell>
          <cell r="P103">
            <v>210</v>
          </cell>
          <cell r="Q103">
            <v>220.5</v>
          </cell>
          <cell r="R103">
            <v>231.52500000000001</v>
          </cell>
          <cell r="S103">
            <v>243.10125000000002</v>
          </cell>
          <cell r="U103">
            <v>267.41137500000002</v>
          </cell>
          <cell r="V103">
            <v>291.47839875000005</v>
          </cell>
          <cell r="W103">
            <v>291.47839875000005</v>
          </cell>
        </row>
        <row r="104">
          <cell r="A104" t="str">
            <v>Vor</v>
          </cell>
          <cell r="B104">
            <v>180</v>
          </cell>
          <cell r="C104">
            <v>90</v>
          </cell>
          <cell r="D104">
            <v>180</v>
          </cell>
          <cell r="E104">
            <v>180</v>
          </cell>
          <cell r="F104">
            <v>180</v>
          </cell>
          <cell r="G104">
            <v>135</v>
          </cell>
          <cell r="H104">
            <v>180</v>
          </cell>
          <cell r="I104">
            <v>180</v>
          </cell>
          <cell r="J104">
            <v>180</v>
          </cell>
          <cell r="K104">
            <v>180</v>
          </cell>
          <cell r="L104">
            <v>180</v>
          </cell>
          <cell r="M104">
            <v>180</v>
          </cell>
          <cell r="N104">
            <v>180</v>
          </cell>
          <cell r="P104">
            <v>189</v>
          </cell>
          <cell r="Q104">
            <v>198.45000000000002</v>
          </cell>
          <cell r="R104">
            <v>208.37250000000003</v>
          </cell>
          <cell r="S104">
            <v>218.79112500000005</v>
          </cell>
          <cell r="U104">
            <v>240.67023750000007</v>
          </cell>
          <cell r="V104">
            <v>262.33055887500012</v>
          </cell>
          <cell r="W104">
            <v>262.33055887500012</v>
          </cell>
        </row>
        <row r="105">
          <cell r="A105" t="str">
            <v>97#1</v>
          </cell>
          <cell r="B105">
            <v>260</v>
          </cell>
          <cell r="C105">
            <v>130</v>
          </cell>
          <cell r="D105">
            <v>260</v>
          </cell>
          <cell r="E105">
            <v>260</v>
          </cell>
          <cell r="F105">
            <v>240</v>
          </cell>
          <cell r="G105">
            <v>180</v>
          </cell>
          <cell r="H105">
            <v>240</v>
          </cell>
          <cell r="I105">
            <v>240</v>
          </cell>
          <cell r="J105">
            <v>240</v>
          </cell>
          <cell r="K105">
            <v>230</v>
          </cell>
          <cell r="L105">
            <v>230</v>
          </cell>
          <cell r="M105">
            <v>230</v>
          </cell>
          <cell r="N105">
            <v>230</v>
          </cell>
          <cell r="P105">
            <v>241.5</v>
          </cell>
          <cell r="Q105">
            <v>253.57500000000002</v>
          </cell>
          <cell r="R105">
            <v>266.25375000000003</v>
          </cell>
          <cell r="S105">
            <v>279.56643750000006</v>
          </cell>
          <cell r="U105">
            <v>307.52308125000008</v>
          </cell>
          <cell r="V105">
            <v>335.20015856250012</v>
          </cell>
          <cell r="W105">
            <v>335.20015856250012</v>
          </cell>
        </row>
        <row r="106">
          <cell r="A106" t="str">
            <v>97#2</v>
          </cell>
          <cell r="B106">
            <v>150</v>
          </cell>
          <cell r="C106">
            <v>75</v>
          </cell>
          <cell r="D106">
            <v>150</v>
          </cell>
          <cell r="E106">
            <v>150</v>
          </cell>
          <cell r="F106">
            <v>150</v>
          </cell>
          <cell r="G106">
            <v>112.5</v>
          </cell>
          <cell r="H106">
            <v>150</v>
          </cell>
          <cell r="I106">
            <v>150</v>
          </cell>
          <cell r="J106">
            <v>150</v>
          </cell>
          <cell r="K106">
            <v>150</v>
          </cell>
          <cell r="L106">
            <v>150</v>
          </cell>
          <cell r="M106">
            <v>150</v>
          </cell>
          <cell r="N106">
            <v>150</v>
          </cell>
          <cell r="P106">
            <v>157.5</v>
          </cell>
          <cell r="Q106">
            <v>165.375</v>
          </cell>
          <cell r="R106">
            <v>173.64375000000001</v>
          </cell>
          <cell r="S106">
            <v>182.32593750000001</v>
          </cell>
          <cell r="U106">
            <v>200.55853125000002</v>
          </cell>
          <cell r="V106">
            <v>218.60879906250003</v>
          </cell>
          <cell r="W106">
            <v>218.60879906250003</v>
          </cell>
        </row>
        <row r="107">
          <cell r="A107" t="str">
            <v>98#1</v>
          </cell>
          <cell r="B107">
            <v>150</v>
          </cell>
          <cell r="C107">
            <v>75</v>
          </cell>
          <cell r="D107">
            <v>150</v>
          </cell>
          <cell r="E107">
            <v>150</v>
          </cell>
          <cell r="F107">
            <v>150</v>
          </cell>
          <cell r="G107">
            <v>112.5</v>
          </cell>
          <cell r="H107">
            <v>150</v>
          </cell>
          <cell r="I107">
            <v>150</v>
          </cell>
          <cell r="J107">
            <v>150</v>
          </cell>
          <cell r="K107">
            <v>150</v>
          </cell>
          <cell r="L107">
            <v>150</v>
          </cell>
          <cell r="M107">
            <v>150</v>
          </cell>
          <cell r="N107">
            <v>150</v>
          </cell>
          <cell r="P107">
            <v>157.5</v>
          </cell>
          <cell r="Q107">
            <v>165.375</v>
          </cell>
          <cell r="R107">
            <v>173.64375000000001</v>
          </cell>
          <cell r="S107">
            <v>182.32593750000001</v>
          </cell>
          <cell r="U107">
            <v>150</v>
          </cell>
          <cell r="V107">
            <v>150</v>
          </cell>
          <cell r="W107">
            <v>150</v>
          </cell>
        </row>
        <row r="108">
          <cell r="A108" t="str">
            <v>98#2</v>
          </cell>
          <cell r="B108">
            <v>150</v>
          </cell>
          <cell r="C108">
            <v>75</v>
          </cell>
          <cell r="D108">
            <v>150</v>
          </cell>
          <cell r="E108">
            <v>150</v>
          </cell>
          <cell r="F108">
            <v>150</v>
          </cell>
          <cell r="G108">
            <v>112.5</v>
          </cell>
          <cell r="H108">
            <v>150</v>
          </cell>
          <cell r="I108">
            <v>150</v>
          </cell>
          <cell r="J108">
            <v>150</v>
          </cell>
          <cell r="K108">
            <v>150</v>
          </cell>
          <cell r="L108">
            <v>150</v>
          </cell>
          <cell r="M108">
            <v>150</v>
          </cell>
          <cell r="N108">
            <v>150</v>
          </cell>
          <cell r="P108">
            <v>157.5</v>
          </cell>
          <cell r="Q108">
            <v>165.375</v>
          </cell>
          <cell r="R108">
            <v>173.64375000000001</v>
          </cell>
          <cell r="S108">
            <v>182.32593750000001</v>
          </cell>
          <cell r="U108">
            <v>150</v>
          </cell>
          <cell r="V108">
            <v>150</v>
          </cell>
          <cell r="W108">
            <v>150</v>
          </cell>
        </row>
        <row r="109">
          <cell r="A109" t="str">
            <v>Mos</v>
          </cell>
        </row>
        <row r="110">
          <cell r="A110" t="str">
            <v>Con</v>
          </cell>
        </row>
        <row r="132">
          <cell r="A132" t="str">
            <v xml:space="preserve">WCD/RCD Average intercity tariff </v>
          </cell>
        </row>
        <row r="133">
          <cell r="B133">
            <v>35765</v>
          </cell>
          <cell r="C133">
            <v>35796</v>
          </cell>
          <cell r="D133">
            <v>35827</v>
          </cell>
          <cell r="E133">
            <v>35855</v>
          </cell>
          <cell r="F133">
            <v>35886</v>
          </cell>
          <cell r="G133">
            <v>35916</v>
          </cell>
          <cell r="H133">
            <v>35947</v>
          </cell>
          <cell r="I133">
            <v>35977</v>
          </cell>
          <cell r="J133">
            <v>36008</v>
          </cell>
          <cell r="K133">
            <v>36039</v>
          </cell>
          <cell r="L133">
            <v>36069</v>
          </cell>
          <cell r="M133">
            <v>36100</v>
          </cell>
          <cell r="N133">
            <v>36130</v>
          </cell>
          <cell r="O133" t="str">
            <v>Total 98</v>
          </cell>
          <cell r="P133" t="str">
            <v>Q1-99</v>
          </cell>
          <cell r="Q133" t="str">
            <v>Q2-99</v>
          </cell>
          <cell r="R133" t="str">
            <v>Q3-99</v>
          </cell>
          <cell r="S133" t="str">
            <v>Q4-99</v>
          </cell>
          <cell r="T133" t="str">
            <v>Total 99</v>
          </cell>
          <cell r="U133">
            <v>2000</v>
          </cell>
          <cell r="V133">
            <v>2001</v>
          </cell>
          <cell r="W133">
            <v>2002</v>
          </cell>
        </row>
        <row r="134">
          <cell r="A134" t="str">
            <v>Ark</v>
          </cell>
          <cell r="C134">
            <v>0.4</v>
          </cell>
          <cell r="D134">
            <v>0.4</v>
          </cell>
          <cell r="E134">
            <v>0.4</v>
          </cell>
          <cell r="F134">
            <v>0.4</v>
          </cell>
          <cell r="G134">
            <v>0.4</v>
          </cell>
          <cell r="H134">
            <v>0.4</v>
          </cell>
          <cell r="I134">
            <v>0.4</v>
          </cell>
          <cell r="J134">
            <v>0.4</v>
          </cell>
          <cell r="K134">
            <v>0.4</v>
          </cell>
          <cell r="L134">
            <v>0.4</v>
          </cell>
          <cell r="M134">
            <v>0.4</v>
          </cell>
          <cell r="N134">
            <v>0.4</v>
          </cell>
          <cell r="P134">
            <v>0.36000000000000004</v>
          </cell>
          <cell r="Q134">
            <v>0.36000000000000004</v>
          </cell>
          <cell r="R134">
            <v>0.36000000000000004</v>
          </cell>
          <cell r="S134">
            <v>0.36000000000000004</v>
          </cell>
          <cell r="U134">
            <v>0.32400000000000007</v>
          </cell>
          <cell r="V134">
            <v>0.29160000000000008</v>
          </cell>
          <cell r="W134">
            <v>0.26244000000000006</v>
          </cell>
        </row>
        <row r="135">
          <cell r="A135" t="str">
            <v>Eka</v>
          </cell>
          <cell r="C135">
            <v>0.34</v>
          </cell>
          <cell r="D135">
            <v>0.34</v>
          </cell>
          <cell r="E135">
            <v>0.34</v>
          </cell>
          <cell r="F135">
            <v>0.34</v>
          </cell>
          <cell r="G135">
            <v>0.34</v>
          </cell>
          <cell r="H135">
            <v>0.34</v>
          </cell>
          <cell r="I135">
            <v>0.32</v>
          </cell>
          <cell r="J135">
            <v>0.32</v>
          </cell>
          <cell r="K135">
            <v>0.32</v>
          </cell>
          <cell r="L135">
            <v>0.32</v>
          </cell>
          <cell r="M135">
            <v>0.32</v>
          </cell>
          <cell r="N135">
            <v>0.32</v>
          </cell>
          <cell r="P135">
            <v>0.28800000000000003</v>
          </cell>
          <cell r="Q135">
            <v>0.28800000000000003</v>
          </cell>
          <cell r="R135">
            <v>0.28800000000000003</v>
          </cell>
          <cell r="S135">
            <v>0.28800000000000003</v>
          </cell>
          <cell r="U135">
            <v>0.25920000000000004</v>
          </cell>
          <cell r="V135">
            <v>0.23328000000000004</v>
          </cell>
          <cell r="W135">
            <v>0.20995200000000006</v>
          </cell>
        </row>
        <row r="136">
          <cell r="A136" t="str">
            <v>Irk</v>
          </cell>
          <cell r="C136">
            <v>0.46</v>
          </cell>
          <cell r="D136">
            <v>0.46</v>
          </cell>
          <cell r="E136">
            <v>0.46</v>
          </cell>
          <cell r="F136">
            <v>0.46</v>
          </cell>
          <cell r="G136">
            <v>0.46</v>
          </cell>
          <cell r="H136">
            <v>0.46</v>
          </cell>
          <cell r="I136">
            <v>0.46</v>
          </cell>
          <cell r="J136">
            <v>0.46</v>
          </cell>
          <cell r="K136">
            <v>0.46</v>
          </cell>
          <cell r="L136">
            <v>0.46</v>
          </cell>
          <cell r="M136">
            <v>0.46</v>
          </cell>
          <cell r="N136">
            <v>0.46</v>
          </cell>
          <cell r="P136">
            <v>0.41400000000000003</v>
          </cell>
          <cell r="Q136">
            <v>0.41400000000000003</v>
          </cell>
          <cell r="R136">
            <v>0.41400000000000003</v>
          </cell>
          <cell r="S136">
            <v>0.41400000000000003</v>
          </cell>
          <cell r="U136">
            <v>0.37260000000000004</v>
          </cell>
          <cell r="V136">
            <v>0.33534000000000003</v>
          </cell>
          <cell r="W136">
            <v>0.30180600000000002</v>
          </cell>
        </row>
        <row r="137">
          <cell r="A137" t="str">
            <v>Kha</v>
          </cell>
          <cell r="C137">
            <v>0.59</v>
          </cell>
          <cell r="D137">
            <v>0.59</v>
          </cell>
          <cell r="E137">
            <v>0.59</v>
          </cell>
          <cell r="F137">
            <v>0.59</v>
          </cell>
          <cell r="G137">
            <v>0.59</v>
          </cell>
          <cell r="H137">
            <v>0.59</v>
          </cell>
          <cell r="I137">
            <v>0.59</v>
          </cell>
          <cell r="J137">
            <v>0.59</v>
          </cell>
          <cell r="K137">
            <v>0.59</v>
          </cell>
          <cell r="L137">
            <v>0.59</v>
          </cell>
          <cell r="M137">
            <v>0.59</v>
          </cell>
          <cell r="N137">
            <v>0.59</v>
          </cell>
          <cell r="P137">
            <v>0.53100000000000003</v>
          </cell>
          <cell r="Q137">
            <v>0.53100000000000003</v>
          </cell>
          <cell r="R137">
            <v>0.53100000000000003</v>
          </cell>
          <cell r="S137">
            <v>0.53100000000000003</v>
          </cell>
          <cell r="U137">
            <v>0.47790000000000005</v>
          </cell>
          <cell r="V137">
            <v>0.43011000000000005</v>
          </cell>
          <cell r="W137">
            <v>0.38709900000000003</v>
          </cell>
        </row>
        <row r="138">
          <cell r="A138" t="str">
            <v>Kra</v>
          </cell>
          <cell r="C138">
            <v>0.24</v>
          </cell>
          <cell r="D138">
            <v>0.24</v>
          </cell>
          <cell r="E138">
            <v>0.24</v>
          </cell>
          <cell r="F138">
            <v>0.24</v>
          </cell>
          <cell r="G138">
            <v>0.24</v>
          </cell>
          <cell r="H138">
            <v>0.24</v>
          </cell>
          <cell r="I138">
            <v>0.24</v>
          </cell>
          <cell r="J138">
            <v>0.24</v>
          </cell>
          <cell r="K138">
            <v>0.24</v>
          </cell>
          <cell r="L138">
            <v>0.24</v>
          </cell>
          <cell r="M138">
            <v>0.24</v>
          </cell>
          <cell r="N138">
            <v>0.24</v>
          </cell>
          <cell r="P138">
            <v>0.216</v>
          </cell>
          <cell r="Q138">
            <v>0.216</v>
          </cell>
          <cell r="R138">
            <v>0.216</v>
          </cell>
          <cell r="S138">
            <v>0.216</v>
          </cell>
          <cell r="U138">
            <v>0.19439999999999999</v>
          </cell>
          <cell r="V138">
            <v>0.17496</v>
          </cell>
          <cell r="W138">
            <v>0.15746400000000002</v>
          </cell>
        </row>
        <row r="139">
          <cell r="A139" t="str">
            <v>Niz</v>
          </cell>
          <cell r="C139">
            <v>0.23</v>
          </cell>
          <cell r="D139">
            <v>0.23</v>
          </cell>
          <cell r="E139">
            <v>0.23</v>
          </cell>
          <cell r="F139">
            <v>0.23</v>
          </cell>
          <cell r="G139">
            <v>0.23</v>
          </cell>
          <cell r="H139">
            <v>0.23</v>
          </cell>
          <cell r="I139">
            <v>0.23</v>
          </cell>
          <cell r="J139">
            <v>0.23</v>
          </cell>
          <cell r="K139">
            <v>0.23</v>
          </cell>
          <cell r="L139">
            <v>0.23</v>
          </cell>
          <cell r="M139">
            <v>0.23</v>
          </cell>
          <cell r="N139">
            <v>0.23</v>
          </cell>
          <cell r="P139">
            <v>0.20700000000000002</v>
          </cell>
          <cell r="Q139">
            <v>0.20700000000000002</v>
          </cell>
          <cell r="R139">
            <v>0.20700000000000002</v>
          </cell>
          <cell r="S139">
            <v>0.20700000000000002</v>
          </cell>
          <cell r="U139">
            <v>0.18630000000000002</v>
          </cell>
          <cell r="V139">
            <v>0.16767000000000001</v>
          </cell>
          <cell r="W139">
            <v>0.15090300000000001</v>
          </cell>
        </row>
        <row r="140">
          <cell r="A140" t="str">
            <v>Nov</v>
          </cell>
          <cell r="C140">
            <v>0.39600000000000002</v>
          </cell>
          <cell r="D140">
            <v>0.39600000000000002</v>
          </cell>
          <cell r="E140">
            <v>0.39600000000000002</v>
          </cell>
          <cell r="F140">
            <v>0.39600000000000002</v>
          </cell>
          <cell r="G140">
            <v>0.39600000000000002</v>
          </cell>
          <cell r="H140">
            <v>0.39600000000000002</v>
          </cell>
          <cell r="I140">
            <v>0.39600000000000002</v>
          </cell>
          <cell r="J140">
            <v>0.39600000000000002</v>
          </cell>
          <cell r="K140">
            <v>0.39600000000000002</v>
          </cell>
          <cell r="L140">
            <v>0.39600000000000002</v>
          </cell>
          <cell r="M140">
            <v>0.39600000000000002</v>
          </cell>
          <cell r="N140">
            <v>0.39600000000000002</v>
          </cell>
          <cell r="P140">
            <v>0.35640000000000005</v>
          </cell>
          <cell r="Q140">
            <v>0.35640000000000005</v>
          </cell>
          <cell r="R140">
            <v>0.35640000000000005</v>
          </cell>
          <cell r="S140">
            <v>0.35640000000000005</v>
          </cell>
          <cell r="U140">
            <v>0.32076000000000005</v>
          </cell>
          <cell r="V140">
            <v>0.28868400000000005</v>
          </cell>
          <cell r="W140">
            <v>0.25981560000000004</v>
          </cell>
        </row>
        <row r="141">
          <cell r="A141" t="str">
            <v>Syk</v>
          </cell>
          <cell r="C141">
            <v>0.32</v>
          </cell>
          <cell r="D141">
            <v>0.32</v>
          </cell>
          <cell r="E141">
            <v>0.32</v>
          </cell>
          <cell r="F141">
            <v>0.32</v>
          </cell>
          <cell r="G141">
            <v>0.32</v>
          </cell>
          <cell r="H141">
            <v>0.32</v>
          </cell>
          <cell r="I141">
            <v>0.32</v>
          </cell>
          <cell r="J141">
            <v>0.32</v>
          </cell>
          <cell r="K141">
            <v>0.32</v>
          </cell>
          <cell r="L141">
            <v>0.32</v>
          </cell>
          <cell r="M141">
            <v>0.32</v>
          </cell>
          <cell r="N141">
            <v>0.32</v>
          </cell>
          <cell r="P141">
            <v>0.28800000000000003</v>
          </cell>
          <cell r="Q141">
            <v>0.28800000000000003</v>
          </cell>
          <cell r="R141">
            <v>0.28800000000000003</v>
          </cell>
          <cell r="S141">
            <v>0.28800000000000003</v>
          </cell>
          <cell r="U141">
            <v>0.25920000000000004</v>
          </cell>
          <cell r="V141">
            <v>0.23328000000000004</v>
          </cell>
          <cell r="W141">
            <v>0.20995200000000006</v>
          </cell>
        </row>
        <row r="142">
          <cell r="A142" t="str">
            <v>Tyu</v>
          </cell>
          <cell r="C142">
            <v>0.39600000000000002</v>
          </cell>
          <cell r="D142">
            <v>0.39600000000000002</v>
          </cell>
          <cell r="E142">
            <v>0.39600000000000002</v>
          </cell>
          <cell r="F142">
            <v>0.39600000000000002</v>
          </cell>
          <cell r="G142">
            <v>0.39600000000000002</v>
          </cell>
          <cell r="H142">
            <v>0.39600000000000002</v>
          </cell>
          <cell r="I142">
            <v>0.39600000000000002</v>
          </cell>
          <cell r="J142">
            <v>0.39600000000000002</v>
          </cell>
          <cell r="K142">
            <v>0.39600000000000002</v>
          </cell>
          <cell r="L142">
            <v>0.39600000000000002</v>
          </cell>
          <cell r="M142">
            <v>0.39600000000000002</v>
          </cell>
          <cell r="N142">
            <v>0.39600000000000002</v>
          </cell>
          <cell r="P142">
            <v>0.35640000000000005</v>
          </cell>
          <cell r="Q142">
            <v>0.35640000000000005</v>
          </cell>
          <cell r="R142">
            <v>0.35640000000000005</v>
          </cell>
          <cell r="S142">
            <v>0.35640000000000005</v>
          </cell>
          <cell r="U142">
            <v>0.32076000000000005</v>
          </cell>
          <cell r="V142">
            <v>0.28868400000000005</v>
          </cell>
          <cell r="W142">
            <v>0.25981560000000004</v>
          </cell>
        </row>
        <row r="143">
          <cell r="A143" t="str">
            <v>Ufa</v>
          </cell>
          <cell r="C143">
            <v>0.3</v>
          </cell>
          <cell r="D143">
            <v>0.3</v>
          </cell>
          <cell r="E143">
            <v>0.3</v>
          </cell>
          <cell r="F143">
            <v>0.3</v>
          </cell>
          <cell r="G143">
            <v>0.3</v>
          </cell>
          <cell r="H143">
            <v>0.3</v>
          </cell>
          <cell r="I143">
            <v>0.3</v>
          </cell>
          <cell r="J143">
            <v>0.3</v>
          </cell>
          <cell r="K143">
            <v>0.3</v>
          </cell>
          <cell r="L143">
            <v>0.3</v>
          </cell>
          <cell r="M143">
            <v>0.3</v>
          </cell>
          <cell r="N143">
            <v>0.3</v>
          </cell>
          <cell r="P143">
            <v>0.27</v>
          </cell>
          <cell r="Q143">
            <v>0.27</v>
          </cell>
          <cell r="R143">
            <v>0.27</v>
          </cell>
          <cell r="S143">
            <v>0.27</v>
          </cell>
          <cell r="U143">
            <v>0.24300000000000002</v>
          </cell>
          <cell r="V143">
            <v>0.21870000000000003</v>
          </cell>
          <cell r="W143">
            <v>0.19683000000000003</v>
          </cell>
        </row>
        <row r="144">
          <cell r="A144" t="str">
            <v>Vla</v>
          </cell>
          <cell r="C144">
            <v>0.47249999999999998</v>
          </cell>
          <cell r="D144">
            <v>0.47249999999999998</v>
          </cell>
          <cell r="E144">
            <v>0.47249999999999998</v>
          </cell>
          <cell r="F144">
            <v>0.47249999999999998</v>
          </cell>
          <cell r="G144">
            <v>0.47249999999999998</v>
          </cell>
          <cell r="H144">
            <v>0.47249999999999998</v>
          </cell>
          <cell r="I144">
            <v>0.47249999999999998</v>
          </cell>
          <cell r="J144">
            <v>0.47249999999999998</v>
          </cell>
          <cell r="K144">
            <v>0.47249999999999998</v>
          </cell>
          <cell r="L144">
            <v>0.47249999999999998</v>
          </cell>
          <cell r="M144">
            <v>0.47249999999999998</v>
          </cell>
          <cell r="N144">
            <v>0.47249999999999998</v>
          </cell>
          <cell r="P144">
            <v>0.42524999999999996</v>
          </cell>
          <cell r="Q144">
            <v>0.42524999999999996</v>
          </cell>
          <cell r="R144">
            <v>0.42524999999999996</v>
          </cell>
          <cell r="S144">
            <v>0.42524999999999996</v>
          </cell>
          <cell r="U144">
            <v>0.38272499999999998</v>
          </cell>
          <cell r="V144">
            <v>0.34445249999999999</v>
          </cell>
          <cell r="W144">
            <v>0.31000725000000001</v>
          </cell>
        </row>
        <row r="145">
          <cell r="A145" t="str">
            <v>Vol</v>
          </cell>
          <cell r="C145">
            <v>0.39</v>
          </cell>
          <cell r="D145">
            <v>0.39</v>
          </cell>
          <cell r="E145">
            <v>0.39</v>
          </cell>
          <cell r="F145">
            <v>0.39</v>
          </cell>
          <cell r="G145">
            <v>0.39</v>
          </cell>
          <cell r="H145">
            <v>0.39</v>
          </cell>
          <cell r="I145">
            <v>0.39</v>
          </cell>
          <cell r="J145">
            <v>0.39</v>
          </cell>
          <cell r="K145">
            <v>0.39</v>
          </cell>
          <cell r="L145">
            <v>0.39</v>
          </cell>
          <cell r="M145">
            <v>0.39</v>
          </cell>
          <cell r="N145">
            <v>0.39</v>
          </cell>
          <cell r="P145">
            <v>0.35100000000000003</v>
          </cell>
          <cell r="Q145">
            <v>0.35100000000000003</v>
          </cell>
          <cell r="R145">
            <v>0.35100000000000003</v>
          </cell>
          <cell r="S145">
            <v>0.35100000000000003</v>
          </cell>
          <cell r="U145">
            <v>0.31590000000000001</v>
          </cell>
          <cell r="V145">
            <v>0.28431000000000001</v>
          </cell>
          <cell r="W145">
            <v>0.25587900000000002</v>
          </cell>
        </row>
        <row r="146">
          <cell r="A146" t="str">
            <v>Vor</v>
          </cell>
          <cell r="C146">
            <v>0.24</v>
          </cell>
          <cell r="D146">
            <v>0.24</v>
          </cell>
          <cell r="E146">
            <v>0.24</v>
          </cell>
          <cell r="F146">
            <v>0.24</v>
          </cell>
          <cell r="G146">
            <v>0.24</v>
          </cell>
          <cell r="H146">
            <v>0.24</v>
          </cell>
          <cell r="I146">
            <v>0.24</v>
          </cell>
          <cell r="J146">
            <v>0.24</v>
          </cell>
          <cell r="K146">
            <v>0.24</v>
          </cell>
          <cell r="L146">
            <v>0.24</v>
          </cell>
          <cell r="M146">
            <v>0.24</v>
          </cell>
          <cell r="N146">
            <v>0.24</v>
          </cell>
          <cell r="P146">
            <v>0.216</v>
          </cell>
          <cell r="Q146">
            <v>0.216</v>
          </cell>
          <cell r="R146">
            <v>0.216</v>
          </cell>
          <cell r="S146">
            <v>0.216</v>
          </cell>
          <cell r="U146">
            <v>0.19439999999999999</v>
          </cell>
          <cell r="V146">
            <v>0.17496</v>
          </cell>
          <cell r="W146">
            <v>0.15746400000000002</v>
          </cell>
        </row>
        <row r="147">
          <cell r="A147" t="str">
            <v>97#1</v>
          </cell>
          <cell r="C147">
            <v>0.24</v>
          </cell>
          <cell r="D147">
            <v>0.24</v>
          </cell>
          <cell r="E147">
            <v>0.24</v>
          </cell>
          <cell r="F147">
            <v>0.24</v>
          </cell>
          <cell r="G147">
            <v>0.24</v>
          </cell>
          <cell r="H147">
            <v>0.24</v>
          </cell>
          <cell r="I147">
            <v>0.24</v>
          </cell>
          <cell r="J147">
            <v>0.24</v>
          </cell>
          <cell r="K147">
            <v>0.24</v>
          </cell>
          <cell r="L147">
            <v>0.24</v>
          </cell>
          <cell r="M147">
            <v>0.24</v>
          </cell>
          <cell r="N147">
            <v>0.24</v>
          </cell>
          <cell r="P147">
            <v>0.216</v>
          </cell>
          <cell r="Q147">
            <v>0.216</v>
          </cell>
          <cell r="R147">
            <v>0.216</v>
          </cell>
          <cell r="S147">
            <v>0.216</v>
          </cell>
          <cell r="U147">
            <v>0.19439999999999999</v>
          </cell>
          <cell r="V147">
            <v>0.17496</v>
          </cell>
          <cell r="W147">
            <v>0.15746400000000002</v>
          </cell>
        </row>
        <row r="148">
          <cell r="A148" t="str">
            <v>97#2</v>
          </cell>
          <cell r="C148">
            <v>0.24</v>
          </cell>
          <cell r="D148">
            <v>0.24</v>
          </cell>
          <cell r="E148">
            <v>0.24</v>
          </cell>
          <cell r="F148">
            <v>0.24</v>
          </cell>
          <cell r="G148">
            <v>0.24</v>
          </cell>
          <cell r="H148">
            <v>0.24</v>
          </cell>
          <cell r="I148">
            <v>0.24</v>
          </cell>
          <cell r="J148">
            <v>0.24</v>
          </cell>
          <cell r="K148">
            <v>0.24</v>
          </cell>
          <cell r="L148">
            <v>0.24</v>
          </cell>
          <cell r="M148">
            <v>0.24</v>
          </cell>
          <cell r="N148">
            <v>0.24</v>
          </cell>
          <cell r="P148">
            <v>0.216</v>
          </cell>
          <cell r="Q148">
            <v>0.216</v>
          </cell>
          <cell r="R148">
            <v>0.216</v>
          </cell>
          <cell r="S148">
            <v>0.216</v>
          </cell>
          <cell r="U148">
            <v>0.19439999999999999</v>
          </cell>
          <cell r="V148">
            <v>0.17496</v>
          </cell>
          <cell r="W148">
            <v>0.15746400000000002</v>
          </cell>
        </row>
        <row r="149">
          <cell r="A149" t="str">
            <v>98#1</v>
          </cell>
          <cell r="C149">
            <v>0.24</v>
          </cell>
          <cell r="D149">
            <v>0.24</v>
          </cell>
          <cell r="E149">
            <v>0.24</v>
          </cell>
          <cell r="F149">
            <v>0.24</v>
          </cell>
          <cell r="G149">
            <v>0.24</v>
          </cell>
          <cell r="H149">
            <v>0.24</v>
          </cell>
          <cell r="I149">
            <v>0.24</v>
          </cell>
          <cell r="J149">
            <v>0.24</v>
          </cell>
          <cell r="K149">
            <v>0.24</v>
          </cell>
          <cell r="L149">
            <v>0.24</v>
          </cell>
          <cell r="M149">
            <v>0.24</v>
          </cell>
          <cell r="N149">
            <v>0.24</v>
          </cell>
          <cell r="P149">
            <v>0.216</v>
          </cell>
          <cell r="Q149">
            <v>0.216</v>
          </cell>
          <cell r="R149">
            <v>0.216</v>
          </cell>
          <cell r="S149">
            <v>0.216</v>
          </cell>
          <cell r="U149">
            <v>0.19439999999999999</v>
          </cell>
          <cell r="V149">
            <v>0.17496</v>
          </cell>
          <cell r="W149">
            <v>0.15746400000000002</v>
          </cell>
        </row>
        <row r="150">
          <cell r="A150" t="str">
            <v>98#2</v>
          </cell>
          <cell r="C150">
            <v>0.24</v>
          </cell>
          <cell r="D150">
            <v>0.24</v>
          </cell>
          <cell r="E150">
            <v>0.24</v>
          </cell>
          <cell r="F150">
            <v>0.24</v>
          </cell>
          <cell r="G150">
            <v>0.24</v>
          </cell>
          <cell r="H150">
            <v>0.24</v>
          </cell>
          <cell r="I150">
            <v>0.24</v>
          </cell>
          <cell r="J150">
            <v>0.24</v>
          </cell>
          <cell r="K150">
            <v>0.24</v>
          </cell>
          <cell r="L150">
            <v>0.24</v>
          </cell>
          <cell r="M150">
            <v>0.24</v>
          </cell>
          <cell r="N150">
            <v>0.24</v>
          </cell>
          <cell r="P150">
            <v>0.216</v>
          </cell>
          <cell r="Q150">
            <v>0.216</v>
          </cell>
          <cell r="R150">
            <v>0.216</v>
          </cell>
          <cell r="S150">
            <v>0.216</v>
          </cell>
          <cell r="U150">
            <v>0.19439999999999999</v>
          </cell>
          <cell r="V150">
            <v>0.17496</v>
          </cell>
          <cell r="W150">
            <v>0.15746400000000002</v>
          </cell>
        </row>
        <row r="151">
          <cell r="A151" t="str">
            <v>Mos</v>
          </cell>
        </row>
        <row r="152">
          <cell r="A152" t="str">
            <v>Con</v>
          </cell>
          <cell r="C152">
            <v>1.06</v>
          </cell>
          <cell r="D152">
            <v>1.06</v>
          </cell>
          <cell r="E152">
            <v>1.06</v>
          </cell>
          <cell r="F152">
            <v>1.06</v>
          </cell>
          <cell r="G152">
            <v>1.06</v>
          </cell>
          <cell r="H152">
            <v>1.06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1</v>
          </cell>
          <cell r="P152">
            <v>0.9</v>
          </cell>
          <cell r="Q152">
            <v>0.9</v>
          </cell>
          <cell r="R152">
            <v>0.9</v>
          </cell>
          <cell r="S152">
            <v>0.9</v>
          </cell>
          <cell r="U152">
            <v>0.81</v>
          </cell>
          <cell r="V152">
            <v>0.72900000000000009</v>
          </cell>
          <cell r="W152">
            <v>0.65610000000000013</v>
          </cell>
        </row>
        <row r="153">
          <cell r="A153" t="str">
            <v>Cel</v>
          </cell>
          <cell r="C153">
            <v>0.48</v>
          </cell>
          <cell r="D153">
            <v>0.48</v>
          </cell>
          <cell r="E153">
            <v>0.48</v>
          </cell>
          <cell r="F153">
            <v>0.48</v>
          </cell>
          <cell r="G153">
            <v>0.48</v>
          </cell>
          <cell r="H153">
            <v>0.48</v>
          </cell>
          <cell r="I153">
            <v>0.48</v>
          </cell>
          <cell r="J153">
            <v>0.48</v>
          </cell>
          <cell r="K153">
            <v>0.48</v>
          </cell>
          <cell r="L153">
            <v>0.48</v>
          </cell>
          <cell r="M153">
            <v>0.48</v>
          </cell>
          <cell r="N153">
            <v>0.48</v>
          </cell>
          <cell r="P153">
            <v>0.432</v>
          </cell>
          <cell r="Q153">
            <v>0.432</v>
          </cell>
          <cell r="R153">
            <v>0.432</v>
          </cell>
          <cell r="S153">
            <v>0.432</v>
          </cell>
          <cell r="U153">
            <v>0.38879999999999998</v>
          </cell>
          <cell r="V153">
            <v>0.34992000000000001</v>
          </cell>
          <cell r="W153">
            <v>0.31492800000000004</v>
          </cell>
        </row>
        <row r="154">
          <cell r="A154" t="str">
            <v>Sov</v>
          </cell>
          <cell r="C154">
            <v>0.3</v>
          </cell>
          <cell r="D154">
            <v>0.3</v>
          </cell>
          <cell r="E154">
            <v>0.3</v>
          </cell>
          <cell r="F154">
            <v>0.3</v>
          </cell>
          <cell r="G154">
            <v>0.3</v>
          </cell>
          <cell r="H154">
            <v>0.3</v>
          </cell>
          <cell r="I154">
            <v>0.3</v>
          </cell>
          <cell r="J154">
            <v>0.3</v>
          </cell>
          <cell r="K154">
            <v>0.3</v>
          </cell>
          <cell r="L154">
            <v>0.3</v>
          </cell>
          <cell r="M154">
            <v>0.3</v>
          </cell>
          <cell r="N154">
            <v>0.3</v>
          </cell>
          <cell r="P154">
            <v>0.3</v>
          </cell>
          <cell r="Q154">
            <v>0.3</v>
          </cell>
          <cell r="R154">
            <v>0.3</v>
          </cell>
          <cell r="S154">
            <v>0.3</v>
          </cell>
          <cell r="U154">
            <v>0.3</v>
          </cell>
          <cell r="V154">
            <v>0.3</v>
          </cell>
          <cell r="W154">
            <v>0.3</v>
          </cell>
        </row>
        <row r="156">
          <cell r="A156" t="str">
            <v>WCD/RCD Number of international min. per line</v>
          </cell>
        </row>
        <row r="157">
          <cell r="B157">
            <v>35765</v>
          </cell>
          <cell r="C157">
            <v>35796</v>
          </cell>
          <cell r="D157">
            <v>35827</v>
          </cell>
          <cell r="E157">
            <v>35855</v>
          </cell>
          <cell r="F157">
            <v>35886</v>
          </cell>
          <cell r="G157">
            <v>35916</v>
          </cell>
          <cell r="H157">
            <v>35947</v>
          </cell>
          <cell r="I157">
            <v>35977</v>
          </cell>
          <cell r="J157">
            <v>36008</v>
          </cell>
          <cell r="K157">
            <v>36039</v>
          </cell>
          <cell r="L157">
            <v>36069</v>
          </cell>
          <cell r="M157">
            <v>36100</v>
          </cell>
          <cell r="N157">
            <v>36130</v>
          </cell>
          <cell r="O157" t="str">
            <v>Total 98</v>
          </cell>
          <cell r="P157" t="str">
            <v>Q1-99</v>
          </cell>
          <cell r="Q157" t="str">
            <v>Q2-99</v>
          </cell>
          <cell r="R157" t="str">
            <v>Q3-99</v>
          </cell>
          <cell r="S157" t="str">
            <v>Q4-99</v>
          </cell>
          <cell r="T157" t="str">
            <v>Total 99</v>
          </cell>
          <cell r="U157">
            <v>2000</v>
          </cell>
          <cell r="V157">
            <v>2001</v>
          </cell>
          <cell r="W157">
            <v>2002</v>
          </cell>
        </row>
        <row r="158">
          <cell r="A158" t="str">
            <v>Ark</v>
          </cell>
          <cell r="B158">
            <v>30</v>
          </cell>
          <cell r="C158">
            <v>15</v>
          </cell>
          <cell r="D158">
            <v>30</v>
          </cell>
          <cell r="E158">
            <v>30</v>
          </cell>
          <cell r="F158">
            <v>30</v>
          </cell>
          <cell r="G158">
            <v>22.5</v>
          </cell>
          <cell r="H158">
            <v>25</v>
          </cell>
          <cell r="I158">
            <v>25</v>
          </cell>
          <cell r="J158">
            <v>25</v>
          </cell>
          <cell r="K158">
            <v>25</v>
          </cell>
          <cell r="L158">
            <v>20</v>
          </cell>
          <cell r="M158">
            <v>20</v>
          </cell>
          <cell r="N158">
            <v>20</v>
          </cell>
          <cell r="P158">
            <v>20.399999999999999</v>
          </cell>
          <cell r="Q158">
            <v>20.808</v>
          </cell>
          <cell r="R158">
            <v>21.224160000000001</v>
          </cell>
          <cell r="S158">
            <v>21.648643200000002</v>
          </cell>
          <cell r="U158">
            <v>22.514588928000002</v>
          </cell>
          <cell r="V158">
            <v>22.964880706560002</v>
          </cell>
          <cell r="W158">
            <v>22.964880706560002</v>
          </cell>
        </row>
        <row r="159">
          <cell r="A159" t="str">
            <v>Eka</v>
          </cell>
          <cell r="B159">
            <v>35</v>
          </cell>
          <cell r="C159">
            <v>17.5</v>
          </cell>
          <cell r="D159">
            <v>35</v>
          </cell>
          <cell r="E159">
            <v>35</v>
          </cell>
          <cell r="F159">
            <v>35</v>
          </cell>
          <cell r="G159">
            <v>26.25</v>
          </cell>
          <cell r="H159">
            <v>35</v>
          </cell>
          <cell r="I159">
            <v>35</v>
          </cell>
          <cell r="J159">
            <v>35</v>
          </cell>
          <cell r="K159">
            <v>35</v>
          </cell>
          <cell r="L159">
            <v>35</v>
          </cell>
          <cell r="M159">
            <v>35</v>
          </cell>
          <cell r="N159">
            <v>35</v>
          </cell>
          <cell r="P159">
            <v>35.700000000000003</v>
          </cell>
          <cell r="Q159">
            <v>36.414000000000001</v>
          </cell>
          <cell r="R159">
            <v>37.14228</v>
          </cell>
          <cell r="S159">
            <v>37.885125600000002</v>
          </cell>
          <cell r="U159">
            <v>39.400530624000005</v>
          </cell>
          <cell r="V159">
            <v>40.188541236480006</v>
          </cell>
          <cell r="W159">
            <v>40.188541236480006</v>
          </cell>
        </row>
        <row r="160">
          <cell r="A160" t="str">
            <v>Irk</v>
          </cell>
          <cell r="B160">
            <v>10</v>
          </cell>
          <cell r="C160">
            <v>5</v>
          </cell>
          <cell r="D160">
            <v>10</v>
          </cell>
          <cell r="E160">
            <v>10</v>
          </cell>
          <cell r="F160">
            <v>10</v>
          </cell>
          <cell r="G160">
            <v>7.5</v>
          </cell>
          <cell r="H160">
            <v>10</v>
          </cell>
          <cell r="I160">
            <v>7</v>
          </cell>
          <cell r="J160">
            <v>7</v>
          </cell>
          <cell r="K160">
            <v>7</v>
          </cell>
          <cell r="L160">
            <v>7</v>
          </cell>
          <cell r="M160">
            <v>7</v>
          </cell>
          <cell r="N160">
            <v>7</v>
          </cell>
          <cell r="P160">
            <v>7.1400000000000006</v>
          </cell>
          <cell r="Q160">
            <v>7.2828000000000008</v>
          </cell>
          <cell r="R160">
            <v>7.4284560000000006</v>
          </cell>
          <cell r="S160">
            <v>7.5770251200000009</v>
          </cell>
          <cell r="U160">
            <v>7.8801061248000011</v>
          </cell>
          <cell r="V160">
            <v>8.0377082472960009</v>
          </cell>
          <cell r="W160">
            <v>8.0377082472960009</v>
          </cell>
        </row>
        <row r="161">
          <cell r="A161" t="str">
            <v>Kha</v>
          </cell>
          <cell r="B161">
            <v>20</v>
          </cell>
          <cell r="C161">
            <v>10</v>
          </cell>
          <cell r="D161">
            <v>20</v>
          </cell>
          <cell r="E161">
            <v>20</v>
          </cell>
          <cell r="F161">
            <v>20</v>
          </cell>
          <cell r="G161">
            <v>15</v>
          </cell>
          <cell r="H161">
            <v>20</v>
          </cell>
          <cell r="I161">
            <v>20</v>
          </cell>
          <cell r="J161">
            <v>20</v>
          </cell>
          <cell r="K161">
            <v>20</v>
          </cell>
          <cell r="L161">
            <v>20</v>
          </cell>
          <cell r="M161">
            <v>20</v>
          </cell>
          <cell r="N161">
            <v>20</v>
          </cell>
          <cell r="P161">
            <v>20.399999999999999</v>
          </cell>
          <cell r="Q161">
            <v>20.808</v>
          </cell>
          <cell r="R161">
            <v>21.224160000000001</v>
          </cell>
          <cell r="S161">
            <v>21.648643200000002</v>
          </cell>
          <cell r="U161">
            <v>22.514588928000002</v>
          </cell>
          <cell r="V161">
            <v>22.964880706560002</v>
          </cell>
          <cell r="W161">
            <v>22.964880706560002</v>
          </cell>
        </row>
        <row r="162">
          <cell r="A162" t="str">
            <v>Kra</v>
          </cell>
          <cell r="B162">
            <v>35</v>
          </cell>
          <cell r="C162">
            <v>17.5</v>
          </cell>
          <cell r="D162">
            <v>35</v>
          </cell>
          <cell r="E162">
            <v>35</v>
          </cell>
          <cell r="F162">
            <v>35</v>
          </cell>
          <cell r="G162">
            <v>26.25</v>
          </cell>
          <cell r="H162">
            <v>35</v>
          </cell>
          <cell r="I162">
            <v>35</v>
          </cell>
          <cell r="J162">
            <v>35</v>
          </cell>
          <cell r="K162">
            <v>35</v>
          </cell>
          <cell r="L162">
            <v>35</v>
          </cell>
          <cell r="M162">
            <v>35</v>
          </cell>
          <cell r="N162">
            <v>35</v>
          </cell>
          <cell r="P162">
            <v>35.700000000000003</v>
          </cell>
          <cell r="Q162">
            <v>36.414000000000001</v>
          </cell>
          <cell r="R162">
            <v>37.14228</v>
          </cell>
          <cell r="S162">
            <v>37.885125600000002</v>
          </cell>
          <cell r="U162">
            <v>39.400530624000005</v>
          </cell>
          <cell r="V162">
            <v>40.188541236480006</v>
          </cell>
          <cell r="W162">
            <v>40.188541236480006</v>
          </cell>
        </row>
        <row r="163">
          <cell r="A163" t="str">
            <v>Niz</v>
          </cell>
          <cell r="B163">
            <v>25</v>
          </cell>
          <cell r="C163">
            <v>12.5</v>
          </cell>
          <cell r="D163">
            <v>25</v>
          </cell>
          <cell r="E163">
            <v>25</v>
          </cell>
          <cell r="F163">
            <v>25</v>
          </cell>
          <cell r="G163">
            <v>18.75</v>
          </cell>
          <cell r="H163">
            <v>25</v>
          </cell>
          <cell r="I163">
            <v>25</v>
          </cell>
          <cell r="J163">
            <v>25</v>
          </cell>
          <cell r="K163">
            <v>25</v>
          </cell>
          <cell r="L163">
            <v>25</v>
          </cell>
          <cell r="M163">
            <v>25</v>
          </cell>
          <cell r="N163">
            <v>25</v>
          </cell>
          <cell r="P163">
            <v>25.5</v>
          </cell>
          <cell r="Q163">
            <v>26.01</v>
          </cell>
          <cell r="R163">
            <v>26.530200000000001</v>
          </cell>
          <cell r="S163">
            <v>27.060804000000001</v>
          </cell>
          <cell r="U163">
            <v>28.143236160000001</v>
          </cell>
          <cell r="V163">
            <v>28.706100883200001</v>
          </cell>
          <cell r="W163">
            <v>28.706100883200001</v>
          </cell>
        </row>
        <row r="164">
          <cell r="A164" t="str">
            <v>Nov</v>
          </cell>
          <cell r="B164">
            <v>30</v>
          </cell>
          <cell r="C164">
            <v>15</v>
          </cell>
          <cell r="D164">
            <v>30</v>
          </cell>
          <cell r="E164">
            <v>30</v>
          </cell>
          <cell r="F164">
            <v>30</v>
          </cell>
          <cell r="G164">
            <v>22.5</v>
          </cell>
          <cell r="H164">
            <v>30</v>
          </cell>
          <cell r="I164">
            <v>30</v>
          </cell>
          <cell r="J164">
            <v>30</v>
          </cell>
          <cell r="K164">
            <v>30</v>
          </cell>
          <cell r="L164">
            <v>30</v>
          </cell>
          <cell r="M164">
            <v>30</v>
          </cell>
          <cell r="N164">
            <v>30</v>
          </cell>
          <cell r="P164">
            <v>30.6</v>
          </cell>
          <cell r="Q164">
            <v>31.212000000000003</v>
          </cell>
          <cell r="R164">
            <v>31.836240000000004</v>
          </cell>
          <cell r="S164">
            <v>32.472964800000007</v>
          </cell>
          <cell r="U164">
            <v>33.771883392000007</v>
          </cell>
          <cell r="V164">
            <v>34.447321059840007</v>
          </cell>
          <cell r="W164">
            <v>34.447321059840007</v>
          </cell>
        </row>
        <row r="165">
          <cell r="A165" t="str">
            <v>Syk</v>
          </cell>
          <cell r="B165">
            <v>20</v>
          </cell>
          <cell r="C165">
            <v>10</v>
          </cell>
          <cell r="D165">
            <v>20</v>
          </cell>
          <cell r="E165">
            <v>20</v>
          </cell>
          <cell r="F165">
            <v>20</v>
          </cell>
          <cell r="G165">
            <v>15</v>
          </cell>
          <cell r="H165">
            <v>20</v>
          </cell>
          <cell r="I165">
            <v>20</v>
          </cell>
          <cell r="J165">
            <v>10</v>
          </cell>
          <cell r="K165">
            <v>10</v>
          </cell>
          <cell r="L165">
            <v>10</v>
          </cell>
          <cell r="M165">
            <v>10</v>
          </cell>
          <cell r="N165">
            <v>10</v>
          </cell>
          <cell r="P165">
            <v>10.199999999999999</v>
          </cell>
          <cell r="Q165">
            <v>10.404</v>
          </cell>
          <cell r="R165">
            <v>10.612080000000001</v>
          </cell>
          <cell r="S165">
            <v>10.824321600000001</v>
          </cell>
          <cell r="U165">
            <v>11.257294464000001</v>
          </cell>
          <cell r="V165">
            <v>11.482440353280001</v>
          </cell>
          <cell r="W165">
            <v>11.482440353280001</v>
          </cell>
        </row>
        <row r="166">
          <cell r="A166" t="str">
            <v>Tyu</v>
          </cell>
          <cell r="B166">
            <v>20</v>
          </cell>
          <cell r="C166">
            <v>10</v>
          </cell>
          <cell r="D166">
            <v>20</v>
          </cell>
          <cell r="E166">
            <v>20</v>
          </cell>
          <cell r="F166">
            <v>20</v>
          </cell>
          <cell r="G166">
            <v>15</v>
          </cell>
          <cell r="H166">
            <v>20</v>
          </cell>
          <cell r="I166">
            <v>17</v>
          </cell>
          <cell r="J166">
            <v>17</v>
          </cell>
          <cell r="K166">
            <v>17</v>
          </cell>
          <cell r="L166">
            <v>17</v>
          </cell>
          <cell r="M166">
            <v>17</v>
          </cell>
          <cell r="N166">
            <v>17</v>
          </cell>
          <cell r="P166">
            <v>17.34</v>
          </cell>
          <cell r="Q166">
            <v>17.686800000000002</v>
          </cell>
          <cell r="R166">
            <v>18.040536000000003</v>
          </cell>
          <cell r="S166">
            <v>18.401346720000003</v>
          </cell>
          <cell r="U166">
            <v>19.137400588800002</v>
          </cell>
          <cell r="V166">
            <v>19.520148600576004</v>
          </cell>
          <cell r="W166">
            <v>19.520148600576004</v>
          </cell>
        </row>
        <row r="167">
          <cell r="A167" t="str">
            <v>Ufa</v>
          </cell>
          <cell r="B167">
            <v>25</v>
          </cell>
          <cell r="C167">
            <v>12.5</v>
          </cell>
          <cell r="D167">
            <v>25</v>
          </cell>
          <cell r="E167">
            <v>25</v>
          </cell>
          <cell r="F167">
            <v>25</v>
          </cell>
          <cell r="G167">
            <v>18.75</v>
          </cell>
          <cell r="H167">
            <v>25</v>
          </cell>
          <cell r="I167">
            <v>25</v>
          </cell>
          <cell r="J167">
            <v>25</v>
          </cell>
          <cell r="K167">
            <v>15</v>
          </cell>
          <cell r="L167">
            <v>15</v>
          </cell>
          <cell r="M167">
            <v>15</v>
          </cell>
          <cell r="N167">
            <v>15</v>
          </cell>
          <cell r="P167">
            <v>15.3</v>
          </cell>
          <cell r="Q167">
            <v>15.606000000000002</v>
          </cell>
          <cell r="R167">
            <v>15.918120000000002</v>
          </cell>
          <cell r="S167">
            <v>16.236482400000003</v>
          </cell>
          <cell r="U167">
            <v>16.885941696000003</v>
          </cell>
          <cell r="V167">
            <v>17.223660529920004</v>
          </cell>
          <cell r="W167">
            <v>17.223660529920004</v>
          </cell>
        </row>
        <row r="168">
          <cell r="A168" t="str">
            <v>Vla</v>
          </cell>
          <cell r="B168">
            <v>45</v>
          </cell>
          <cell r="C168">
            <v>22.5</v>
          </cell>
          <cell r="D168">
            <v>45</v>
          </cell>
          <cell r="E168">
            <v>45</v>
          </cell>
          <cell r="F168">
            <v>45</v>
          </cell>
          <cell r="G168">
            <v>33.75</v>
          </cell>
          <cell r="H168">
            <v>45</v>
          </cell>
          <cell r="I168">
            <v>35</v>
          </cell>
          <cell r="J168">
            <v>35</v>
          </cell>
          <cell r="K168">
            <v>35</v>
          </cell>
          <cell r="L168">
            <v>35</v>
          </cell>
          <cell r="M168">
            <v>35</v>
          </cell>
          <cell r="N168">
            <v>35</v>
          </cell>
          <cell r="P168">
            <v>35.700000000000003</v>
          </cell>
          <cell r="Q168">
            <v>36.414000000000001</v>
          </cell>
          <cell r="R168">
            <v>37.14228</v>
          </cell>
          <cell r="S168">
            <v>37.885125600000002</v>
          </cell>
          <cell r="U168">
            <v>39.400530624000005</v>
          </cell>
          <cell r="V168">
            <v>40.188541236480006</v>
          </cell>
          <cell r="W168">
            <v>40.188541236480006</v>
          </cell>
        </row>
        <row r="169">
          <cell r="A169" t="str">
            <v>Vol</v>
          </cell>
          <cell r="B169">
            <v>10</v>
          </cell>
          <cell r="C169">
            <v>5</v>
          </cell>
          <cell r="D169">
            <v>10</v>
          </cell>
          <cell r="E169">
            <v>10</v>
          </cell>
          <cell r="F169">
            <v>10</v>
          </cell>
          <cell r="G169">
            <v>7.5</v>
          </cell>
          <cell r="H169">
            <v>10</v>
          </cell>
          <cell r="I169">
            <v>10</v>
          </cell>
          <cell r="J169">
            <v>10</v>
          </cell>
          <cell r="K169">
            <v>10</v>
          </cell>
          <cell r="L169">
            <v>10</v>
          </cell>
          <cell r="M169">
            <v>10</v>
          </cell>
          <cell r="N169">
            <v>10</v>
          </cell>
          <cell r="P169">
            <v>10.199999999999999</v>
          </cell>
          <cell r="Q169">
            <v>10.404</v>
          </cell>
          <cell r="R169">
            <v>10.612080000000001</v>
          </cell>
          <cell r="S169">
            <v>10.824321600000001</v>
          </cell>
          <cell r="U169">
            <v>11.257294464000001</v>
          </cell>
          <cell r="V169">
            <v>11.482440353280001</v>
          </cell>
          <cell r="W169">
            <v>11.482440353280001</v>
          </cell>
        </row>
        <row r="170">
          <cell r="A170" t="str">
            <v>Vor</v>
          </cell>
          <cell r="B170">
            <v>5</v>
          </cell>
          <cell r="C170">
            <v>2.5</v>
          </cell>
          <cell r="D170">
            <v>5</v>
          </cell>
          <cell r="E170">
            <v>5</v>
          </cell>
          <cell r="F170">
            <v>5</v>
          </cell>
          <cell r="G170">
            <v>3.75</v>
          </cell>
          <cell r="H170">
            <v>5</v>
          </cell>
          <cell r="I170">
            <v>5</v>
          </cell>
          <cell r="J170">
            <v>5</v>
          </cell>
          <cell r="K170">
            <v>5</v>
          </cell>
          <cell r="L170">
            <v>5</v>
          </cell>
          <cell r="M170">
            <v>5</v>
          </cell>
          <cell r="N170">
            <v>5</v>
          </cell>
          <cell r="P170">
            <v>20</v>
          </cell>
          <cell r="Q170">
            <v>20.399999999999999</v>
          </cell>
          <cell r="R170">
            <v>20.808</v>
          </cell>
          <cell r="S170">
            <v>21.224160000000001</v>
          </cell>
          <cell r="U170">
            <v>22.073126400000003</v>
          </cell>
          <cell r="V170">
            <v>22.514588928000002</v>
          </cell>
          <cell r="W170">
            <v>22.514588928000002</v>
          </cell>
        </row>
        <row r="171">
          <cell r="A171" t="str">
            <v>97#1</v>
          </cell>
          <cell r="B171">
            <v>20</v>
          </cell>
          <cell r="C171">
            <v>10</v>
          </cell>
          <cell r="D171">
            <v>20</v>
          </cell>
          <cell r="E171">
            <v>20</v>
          </cell>
          <cell r="F171">
            <v>20</v>
          </cell>
          <cell r="G171">
            <v>15</v>
          </cell>
          <cell r="H171">
            <v>20</v>
          </cell>
          <cell r="I171">
            <v>20</v>
          </cell>
          <cell r="J171">
            <v>20</v>
          </cell>
          <cell r="K171">
            <v>20</v>
          </cell>
          <cell r="L171">
            <v>20</v>
          </cell>
          <cell r="M171">
            <v>20</v>
          </cell>
          <cell r="N171">
            <v>20</v>
          </cell>
          <cell r="P171">
            <v>20.399999999999999</v>
          </cell>
          <cell r="Q171">
            <v>20.808</v>
          </cell>
          <cell r="R171">
            <v>21.224160000000001</v>
          </cell>
          <cell r="S171">
            <v>21.648643200000002</v>
          </cell>
          <cell r="U171">
            <v>22.514588928000002</v>
          </cell>
          <cell r="V171">
            <v>22.964880706560002</v>
          </cell>
          <cell r="W171">
            <v>22.964880706560002</v>
          </cell>
        </row>
        <row r="172">
          <cell r="A172" t="str">
            <v>97#2</v>
          </cell>
          <cell r="B172">
            <v>20</v>
          </cell>
          <cell r="C172">
            <v>10</v>
          </cell>
          <cell r="D172">
            <v>20</v>
          </cell>
          <cell r="E172">
            <v>20</v>
          </cell>
          <cell r="F172">
            <v>20</v>
          </cell>
          <cell r="G172">
            <v>15</v>
          </cell>
          <cell r="H172">
            <v>20</v>
          </cell>
          <cell r="I172">
            <v>20</v>
          </cell>
          <cell r="J172">
            <v>20</v>
          </cell>
          <cell r="K172">
            <v>20</v>
          </cell>
          <cell r="L172">
            <v>20</v>
          </cell>
          <cell r="M172">
            <v>20</v>
          </cell>
          <cell r="N172">
            <v>20</v>
          </cell>
          <cell r="P172">
            <v>20.399999999999999</v>
          </cell>
          <cell r="Q172">
            <v>20.808</v>
          </cell>
          <cell r="R172">
            <v>21.224160000000001</v>
          </cell>
          <cell r="S172">
            <v>21.648643200000002</v>
          </cell>
          <cell r="U172">
            <v>22.514588928000002</v>
          </cell>
          <cell r="V172">
            <v>22.964880706560002</v>
          </cell>
          <cell r="W172">
            <v>22.964880706560002</v>
          </cell>
        </row>
        <row r="173">
          <cell r="A173" t="str">
            <v>98#1</v>
          </cell>
          <cell r="B173">
            <v>30</v>
          </cell>
          <cell r="C173">
            <v>15</v>
          </cell>
          <cell r="D173">
            <v>30</v>
          </cell>
          <cell r="E173">
            <v>30</v>
          </cell>
          <cell r="F173">
            <v>30</v>
          </cell>
          <cell r="G173">
            <v>22.5</v>
          </cell>
          <cell r="H173">
            <v>30</v>
          </cell>
          <cell r="I173">
            <v>30</v>
          </cell>
          <cell r="J173">
            <v>30</v>
          </cell>
          <cell r="K173">
            <v>30</v>
          </cell>
          <cell r="L173">
            <v>30</v>
          </cell>
          <cell r="M173">
            <v>30</v>
          </cell>
          <cell r="N173">
            <v>30</v>
          </cell>
          <cell r="P173">
            <v>30.6</v>
          </cell>
          <cell r="Q173">
            <v>31.212000000000003</v>
          </cell>
          <cell r="R173">
            <v>31.836240000000004</v>
          </cell>
          <cell r="S173">
            <v>32.472964800000007</v>
          </cell>
          <cell r="U173">
            <v>33.771883392000007</v>
          </cell>
          <cell r="V173">
            <v>34.447321059840007</v>
          </cell>
          <cell r="W173">
            <v>34.447321059840007</v>
          </cell>
        </row>
        <row r="174">
          <cell r="A174" t="str">
            <v>98#2</v>
          </cell>
          <cell r="B174">
            <v>30</v>
          </cell>
          <cell r="C174">
            <v>15</v>
          </cell>
          <cell r="D174">
            <v>30</v>
          </cell>
          <cell r="E174">
            <v>30</v>
          </cell>
          <cell r="F174">
            <v>30</v>
          </cell>
          <cell r="G174">
            <v>22.5</v>
          </cell>
          <cell r="H174">
            <v>30</v>
          </cell>
          <cell r="I174">
            <v>30</v>
          </cell>
          <cell r="J174">
            <v>30</v>
          </cell>
          <cell r="K174">
            <v>30</v>
          </cell>
          <cell r="L174">
            <v>30</v>
          </cell>
          <cell r="M174">
            <v>30</v>
          </cell>
          <cell r="N174">
            <v>30</v>
          </cell>
          <cell r="P174">
            <v>30.6</v>
          </cell>
          <cell r="Q174">
            <v>31.212000000000003</v>
          </cell>
          <cell r="R174">
            <v>31.836240000000004</v>
          </cell>
          <cell r="S174">
            <v>32.472964800000007</v>
          </cell>
          <cell r="U174">
            <v>33.771883392000007</v>
          </cell>
          <cell r="V174">
            <v>34.447321059840007</v>
          </cell>
          <cell r="W174">
            <v>34.447321059840007</v>
          </cell>
        </row>
        <row r="175">
          <cell r="A175" t="str">
            <v>Mos</v>
          </cell>
        </row>
        <row r="176">
          <cell r="A176" t="str">
            <v>Con</v>
          </cell>
        </row>
        <row r="198">
          <cell r="A198" t="str">
            <v>WCD/RCD Average international tariff</v>
          </cell>
        </row>
        <row r="199">
          <cell r="B199">
            <v>35765</v>
          </cell>
          <cell r="C199">
            <v>35796</v>
          </cell>
          <cell r="D199">
            <v>35827</v>
          </cell>
          <cell r="E199">
            <v>35855</v>
          </cell>
          <cell r="F199">
            <v>35886</v>
          </cell>
          <cell r="G199">
            <v>35916</v>
          </cell>
          <cell r="H199">
            <v>35947</v>
          </cell>
          <cell r="I199">
            <v>35977</v>
          </cell>
          <cell r="J199">
            <v>36008</v>
          </cell>
          <cell r="K199">
            <v>36039</v>
          </cell>
          <cell r="L199">
            <v>36069</v>
          </cell>
          <cell r="M199">
            <v>36100</v>
          </cell>
          <cell r="N199">
            <v>36130</v>
          </cell>
          <cell r="O199" t="str">
            <v>Total 98</v>
          </cell>
          <cell r="P199" t="str">
            <v>Q1-99</v>
          </cell>
          <cell r="Q199" t="str">
            <v>Q2-99</v>
          </cell>
          <cell r="R199" t="str">
            <v>Q3-99</v>
          </cell>
          <cell r="S199" t="str">
            <v>Q4-99</v>
          </cell>
          <cell r="T199" t="str">
            <v>Total 99</v>
          </cell>
          <cell r="U199">
            <v>2000</v>
          </cell>
          <cell r="V199">
            <v>2001</v>
          </cell>
          <cell r="W199">
            <v>2002</v>
          </cell>
        </row>
        <row r="200">
          <cell r="A200" t="str">
            <v>Ark</v>
          </cell>
          <cell r="C200">
            <v>0.52060000000000017</v>
          </cell>
          <cell r="D200">
            <v>0.52060000000000017</v>
          </cell>
          <cell r="E200">
            <v>0.52060000000000017</v>
          </cell>
          <cell r="F200">
            <v>0.52060000000000017</v>
          </cell>
          <cell r="G200">
            <v>0.52060000000000017</v>
          </cell>
          <cell r="H200">
            <v>0.52060000000000017</v>
          </cell>
          <cell r="I200">
            <v>0.52060000000000017</v>
          </cell>
          <cell r="J200">
            <v>0.52060000000000017</v>
          </cell>
          <cell r="K200">
            <v>0.52060000000000017</v>
          </cell>
          <cell r="L200">
            <v>0.52060000000000017</v>
          </cell>
          <cell r="M200">
            <v>0.52060000000000017</v>
          </cell>
          <cell r="N200">
            <v>0.52060000000000017</v>
          </cell>
          <cell r="P200">
            <v>0.52060000000000017</v>
          </cell>
          <cell r="Q200">
            <v>0.52060000000000017</v>
          </cell>
          <cell r="R200">
            <v>0.52060000000000017</v>
          </cell>
          <cell r="S200">
            <v>0.52060000000000017</v>
          </cell>
          <cell r="U200">
            <v>0.49457000000000012</v>
          </cell>
          <cell r="V200">
            <v>0.46984150000000008</v>
          </cell>
          <cell r="W200">
            <v>0.44634942500000008</v>
          </cell>
        </row>
        <row r="201">
          <cell r="A201" t="str">
            <v>Eka</v>
          </cell>
          <cell r="C201">
            <v>0.52060000000000017</v>
          </cell>
          <cell r="D201">
            <v>0.52060000000000017</v>
          </cell>
          <cell r="E201">
            <v>0.52060000000000017</v>
          </cell>
          <cell r="F201">
            <v>0.52060000000000017</v>
          </cell>
          <cell r="G201">
            <v>0.52060000000000017</v>
          </cell>
          <cell r="H201">
            <v>0.52060000000000017</v>
          </cell>
          <cell r="I201">
            <v>0.52060000000000017</v>
          </cell>
          <cell r="J201">
            <v>0.52060000000000017</v>
          </cell>
          <cell r="K201">
            <v>0.52060000000000017</v>
          </cell>
          <cell r="L201">
            <v>0.52060000000000017</v>
          </cell>
          <cell r="M201">
            <v>0.52060000000000017</v>
          </cell>
          <cell r="N201">
            <v>0.52060000000000017</v>
          </cell>
          <cell r="P201">
            <v>0.52060000000000017</v>
          </cell>
          <cell r="Q201">
            <v>0.52060000000000017</v>
          </cell>
          <cell r="R201">
            <v>0.52060000000000017</v>
          </cell>
          <cell r="S201">
            <v>0.52060000000000017</v>
          </cell>
          <cell r="U201">
            <v>0.49457000000000012</v>
          </cell>
          <cell r="V201">
            <v>0.46984150000000008</v>
          </cell>
          <cell r="W201">
            <v>0.44634942500000008</v>
          </cell>
        </row>
        <row r="202">
          <cell r="A202" t="str">
            <v>Irk</v>
          </cell>
          <cell r="C202">
            <v>0.58010000000000017</v>
          </cell>
          <cell r="D202">
            <v>0.58010000000000017</v>
          </cell>
          <cell r="E202">
            <v>0.58010000000000017</v>
          </cell>
          <cell r="F202">
            <v>0.58010000000000017</v>
          </cell>
          <cell r="G202">
            <v>0.58010000000000017</v>
          </cell>
          <cell r="H202">
            <v>0.58010000000000017</v>
          </cell>
          <cell r="I202">
            <v>0.58010000000000017</v>
          </cell>
          <cell r="J202">
            <v>0.58010000000000017</v>
          </cell>
          <cell r="K202">
            <v>0.58010000000000017</v>
          </cell>
          <cell r="L202">
            <v>0.58010000000000017</v>
          </cell>
          <cell r="M202">
            <v>0.58010000000000017</v>
          </cell>
          <cell r="N202">
            <v>0.58010000000000017</v>
          </cell>
          <cell r="P202">
            <v>0.58010000000000017</v>
          </cell>
          <cell r="Q202">
            <v>0.58010000000000017</v>
          </cell>
          <cell r="R202">
            <v>0.58010000000000017</v>
          </cell>
          <cell r="S202">
            <v>0.58010000000000017</v>
          </cell>
          <cell r="U202">
            <v>0.55109500000000011</v>
          </cell>
          <cell r="V202">
            <v>0.52354025000000004</v>
          </cell>
          <cell r="W202">
            <v>0.4973632375</v>
          </cell>
        </row>
        <row r="203">
          <cell r="A203" t="str">
            <v>Kha</v>
          </cell>
          <cell r="C203">
            <v>0.58579999999999999</v>
          </cell>
          <cell r="D203">
            <v>0.58579999999999999</v>
          </cell>
          <cell r="E203">
            <v>0.58579999999999999</v>
          </cell>
          <cell r="F203">
            <v>0.58579999999999999</v>
          </cell>
          <cell r="G203">
            <v>0.58579999999999999</v>
          </cell>
          <cell r="H203">
            <v>0.58579999999999999</v>
          </cell>
          <cell r="I203">
            <v>0.58579999999999999</v>
          </cell>
          <cell r="J203">
            <v>0.58579999999999999</v>
          </cell>
          <cell r="K203">
            <v>0.58579999999999999</v>
          </cell>
          <cell r="L203">
            <v>0.58579999999999999</v>
          </cell>
          <cell r="M203">
            <v>0.58579999999999999</v>
          </cell>
          <cell r="N203">
            <v>0.58579999999999999</v>
          </cell>
          <cell r="P203">
            <v>0.58579999999999999</v>
          </cell>
          <cell r="Q203">
            <v>0.58579999999999999</v>
          </cell>
          <cell r="R203">
            <v>0.58579999999999999</v>
          </cell>
          <cell r="S203">
            <v>0.58579999999999999</v>
          </cell>
          <cell r="U203">
            <v>0.55650999999999995</v>
          </cell>
          <cell r="V203">
            <v>0.52868449999999989</v>
          </cell>
          <cell r="W203">
            <v>0.50225027499999986</v>
          </cell>
        </row>
        <row r="204">
          <cell r="A204" t="str">
            <v>Kra</v>
          </cell>
          <cell r="C204">
            <v>0.52060000000000017</v>
          </cell>
          <cell r="D204">
            <v>0.52060000000000017</v>
          </cell>
          <cell r="E204">
            <v>0.52060000000000017</v>
          </cell>
          <cell r="F204">
            <v>0.52060000000000017</v>
          </cell>
          <cell r="G204">
            <v>0.52060000000000017</v>
          </cell>
          <cell r="H204">
            <v>0.52060000000000017</v>
          </cell>
          <cell r="I204">
            <v>0.52060000000000017</v>
          </cell>
          <cell r="J204">
            <v>0.52060000000000017</v>
          </cell>
          <cell r="K204">
            <v>0.52060000000000017</v>
          </cell>
          <cell r="L204">
            <v>0.52060000000000017</v>
          </cell>
          <cell r="M204">
            <v>0.52060000000000017</v>
          </cell>
          <cell r="N204">
            <v>0.52060000000000017</v>
          </cell>
          <cell r="P204">
            <v>0.52060000000000017</v>
          </cell>
          <cell r="Q204">
            <v>0.52060000000000017</v>
          </cell>
          <cell r="R204">
            <v>0.52060000000000017</v>
          </cell>
          <cell r="S204">
            <v>0.52060000000000017</v>
          </cell>
          <cell r="U204">
            <v>0.49457000000000012</v>
          </cell>
          <cell r="V204">
            <v>0.46984150000000008</v>
          </cell>
          <cell r="W204">
            <v>0.44634942500000008</v>
          </cell>
        </row>
        <row r="205">
          <cell r="A205" t="str">
            <v>Niz</v>
          </cell>
          <cell r="C205">
            <v>0.52060000000000017</v>
          </cell>
          <cell r="D205">
            <v>0.52060000000000017</v>
          </cell>
          <cell r="E205">
            <v>0.52060000000000017</v>
          </cell>
          <cell r="F205">
            <v>0.52060000000000017</v>
          </cell>
          <cell r="G205">
            <v>0.52060000000000017</v>
          </cell>
          <cell r="H205">
            <v>0.52060000000000017</v>
          </cell>
          <cell r="I205">
            <v>0.52060000000000017</v>
          </cell>
          <cell r="J205">
            <v>0.52060000000000017</v>
          </cell>
          <cell r="K205">
            <v>0.52060000000000017</v>
          </cell>
          <cell r="L205">
            <v>0.52060000000000017</v>
          </cell>
          <cell r="M205">
            <v>0.52060000000000017</v>
          </cell>
          <cell r="N205">
            <v>0.52060000000000017</v>
          </cell>
          <cell r="P205">
            <v>0.52060000000000017</v>
          </cell>
          <cell r="Q205">
            <v>0.52060000000000017</v>
          </cell>
          <cell r="R205">
            <v>0.52060000000000017</v>
          </cell>
          <cell r="S205">
            <v>0.52060000000000017</v>
          </cell>
          <cell r="U205">
            <v>0.49457000000000012</v>
          </cell>
          <cell r="V205">
            <v>0.46984150000000008</v>
          </cell>
          <cell r="W205">
            <v>0.44634942500000008</v>
          </cell>
        </row>
        <row r="206">
          <cell r="A206" t="str">
            <v>Nov</v>
          </cell>
          <cell r="C206">
            <v>0.54</v>
          </cell>
          <cell r="D206">
            <v>0.54</v>
          </cell>
          <cell r="E206">
            <v>0.54</v>
          </cell>
          <cell r="F206">
            <v>0.54</v>
          </cell>
          <cell r="G206">
            <v>0.54</v>
          </cell>
          <cell r="H206">
            <v>0.54</v>
          </cell>
          <cell r="I206">
            <v>0.54</v>
          </cell>
          <cell r="J206">
            <v>0.54</v>
          </cell>
          <cell r="K206">
            <v>0.54</v>
          </cell>
          <cell r="L206">
            <v>0.54</v>
          </cell>
          <cell r="M206">
            <v>0.54</v>
          </cell>
          <cell r="N206">
            <v>0.54</v>
          </cell>
          <cell r="P206">
            <v>0.54</v>
          </cell>
          <cell r="Q206">
            <v>0.54</v>
          </cell>
          <cell r="R206">
            <v>0.54</v>
          </cell>
          <cell r="S206">
            <v>0.54</v>
          </cell>
          <cell r="U206">
            <v>0.51300000000000001</v>
          </cell>
          <cell r="V206">
            <v>0.48735000000000001</v>
          </cell>
          <cell r="W206">
            <v>0.46298249999999996</v>
          </cell>
        </row>
        <row r="207">
          <cell r="A207" t="str">
            <v>Syk</v>
          </cell>
          <cell r="C207">
            <v>0.7846373000000002</v>
          </cell>
          <cell r="D207">
            <v>0.7846373000000002</v>
          </cell>
          <cell r="E207">
            <v>0.7846373000000002</v>
          </cell>
          <cell r="F207">
            <v>0.7846373000000002</v>
          </cell>
          <cell r="G207">
            <v>0.7846373000000002</v>
          </cell>
          <cell r="H207">
            <v>0.7846373000000002</v>
          </cell>
          <cell r="I207">
            <v>0.7846373000000002</v>
          </cell>
          <cell r="J207">
            <v>0.7846373000000002</v>
          </cell>
          <cell r="K207">
            <v>0.7846373000000002</v>
          </cell>
          <cell r="L207">
            <v>0.7846373000000002</v>
          </cell>
          <cell r="M207">
            <v>0.7846373000000002</v>
          </cell>
          <cell r="N207">
            <v>0.7846373000000002</v>
          </cell>
          <cell r="P207">
            <v>0.7846373000000002</v>
          </cell>
          <cell r="Q207">
            <v>0.7846373000000002</v>
          </cell>
          <cell r="R207">
            <v>0.7846373000000002</v>
          </cell>
          <cell r="S207">
            <v>0.7846373000000002</v>
          </cell>
          <cell r="U207">
            <v>0.74540543500000012</v>
          </cell>
          <cell r="V207">
            <v>0.70813516325000003</v>
          </cell>
          <cell r="W207">
            <v>0.67272840508749998</v>
          </cell>
        </row>
        <row r="208">
          <cell r="A208" t="str">
            <v>Tyu</v>
          </cell>
          <cell r="C208">
            <v>0.52060000000000017</v>
          </cell>
          <cell r="D208">
            <v>0.52060000000000017</v>
          </cell>
          <cell r="E208">
            <v>0.52060000000000017</v>
          </cell>
          <cell r="F208">
            <v>0.52060000000000017</v>
          </cell>
          <cell r="G208">
            <v>0.52060000000000017</v>
          </cell>
          <cell r="H208">
            <v>0.52060000000000017</v>
          </cell>
          <cell r="I208">
            <v>0.52060000000000017</v>
          </cell>
          <cell r="J208">
            <v>0.52060000000000017</v>
          </cell>
          <cell r="K208">
            <v>0.52060000000000017</v>
          </cell>
          <cell r="L208">
            <v>0.52060000000000017</v>
          </cell>
          <cell r="M208">
            <v>0.52060000000000017</v>
          </cell>
          <cell r="N208">
            <v>0.52060000000000017</v>
          </cell>
          <cell r="P208">
            <v>0.52060000000000017</v>
          </cell>
          <cell r="Q208">
            <v>0.52060000000000017</v>
          </cell>
          <cell r="R208">
            <v>0.52060000000000017</v>
          </cell>
          <cell r="S208">
            <v>0.52060000000000017</v>
          </cell>
          <cell r="U208">
            <v>0.49457000000000012</v>
          </cell>
          <cell r="V208">
            <v>0.46984150000000008</v>
          </cell>
          <cell r="W208">
            <v>0.44634942500000008</v>
          </cell>
        </row>
        <row r="209">
          <cell r="A209" t="str">
            <v>Ufa</v>
          </cell>
          <cell r="C209">
            <v>0.52060000000000017</v>
          </cell>
          <cell r="D209">
            <v>0.52060000000000017</v>
          </cell>
          <cell r="E209">
            <v>0.52060000000000017</v>
          </cell>
          <cell r="F209">
            <v>0.52060000000000017</v>
          </cell>
          <cell r="G209">
            <v>0.52060000000000017</v>
          </cell>
          <cell r="H209">
            <v>0.52060000000000017</v>
          </cell>
          <cell r="I209">
            <v>0.52060000000000017</v>
          </cell>
          <cell r="J209">
            <v>0.52060000000000017</v>
          </cell>
          <cell r="K209">
            <v>0.52060000000000017</v>
          </cell>
          <cell r="L209">
            <v>0.52060000000000017</v>
          </cell>
          <cell r="M209">
            <v>0.52060000000000017</v>
          </cell>
          <cell r="N209">
            <v>0.52060000000000017</v>
          </cell>
          <cell r="P209">
            <v>0.52060000000000017</v>
          </cell>
          <cell r="Q209">
            <v>0.52060000000000017</v>
          </cell>
          <cell r="R209">
            <v>0.52060000000000017</v>
          </cell>
          <cell r="S209">
            <v>0.52060000000000017</v>
          </cell>
          <cell r="U209">
            <v>0.49457000000000012</v>
          </cell>
          <cell r="V209">
            <v>0.46984150000000008</v>
          </cell>
          <cell r="W209">
            <v>0.44634942500000008</v>
          </cell>
        </row>
        <row r="210">
          <cell r="A210" t="str">
            <v>Vla</v>
          </cell>
          <cell r="C210">
            <v>0.53</v>
          </cell>
          <cell r="D210">
            <v>0.53</v>
          </cell>
          <cell r="E210">
            <v>0.53</v>
          </cell>
          <cell r="F210">
            <v>0.53</v>
          </cell>
          <cell r="G210">
            <v>0.53</v>
          </cell>
          <cell r="H210">
            <v>0.53</v>
          </cell>
          <cell r="I210">
            <v>0.53</v>
          </cell>
          <cell r="J210">
            <v>0.53</v>
          </cell>
          <cell r="K210">
            <v>0.53</v>
          </cell>
          <cell r="L210">
            <v>0.53</v>
          </cell>
          <cell r="M210">
            <v>0.53</v>
          </cell>
          <cell r="N210">
            <v>0.53</v>
          </cell>
          <cell r="P210">
            <v>0.53</v>
          </cell>
          <cell r="Q210">
            <v>0.53</v>
          </cell>
          <cell r="R210">
            <v>0.53</v>
          </cell>
          <cell r="S210">
            <v>0.53</v>
          </cell>
          <cell r="U210">
            <v>0.50349999999999995</v>
          </cell>
          <cell r="V210">
            <v>0.47832499999999994</v>
          </cell>
          <cell r="W210">
            <v>0.45440874999999992</v>
          </cell>
        </row>
        <row r="211">
          <cell r="A211" t="str">
            <v>Vol</v>
          </cell>
          <cell r="C211">
            <v>0.52060000000000017</v>
          </cell>
          <cell r="D211">
            <v>0.52060000000000017</v>
          </cell>
          <cell r="E211">
            <v>0.52060000000000017</v>
          </cell>
          <cell r="F211">
            <v>0.52060000000000017</v>
          </cell>
          <cell r="G211">
            <v>0.52060000000000017</v>
          </cell>
          <cell r="H211">
            <v>0.52060000000000017</v>
          </cell>
          <cell r="I211">
            <v>0.52060000000000017</v>
          </cell>
          <cell r="J211">
            <v>0.52060000000000017</v>
          </cell>
          <cell r="K211">
            <v>0.52060000000000017</v>
          </cell>
          <cell r="L211">
            <v>0.52060000000000017</v>
          </cell>
          <cell r="M211">
            <v>0.52060000000000017</v>
          </cell>
          <cell r="N211">
            <v>0.52060000000000017</v>
          </cell>
          <cell r="P211">
            <v>0.52060000000000017</v>
          </cell>
          <cell r="Q211">
            <v>0.52060000000000017</v>
          </cell>
          <cell r="R211">
            <v>0.52060000000000017</v>
          </cell>
          <cell r="S211">
            <v>0.52060000000000017</v>
          </cell>
          <cell r="U211">
            <v>0.49457000000000012</v>
          </cell>
          <cell r="V211">
            <v>0.46984150000000008</v>
          </cell>
          <cell r="W211">
            <v>0.44634942500000008</v>
          </cell>
        </row>
        <row r="212">
          <cell r="A212" t="str">
            <v>Vor</v>
          </cell>
          <cell r="C212">
            <v>0.52060000000000017</v>
          </cell>
          <cell r="D212">
            <v>0.52060000000000017</v>
          </cell>
          <cell r="E212">
            <v>0.52060000000000017</v>
          </cell>
          <cell r="F212">
            <v>0.52060000000000017</v>
          </cell>
          <cell r="G212">
            <v>0.52060000000000017</v>
          </cell>
          <cell r="H212">
            <v>0.52060000000000017</v>
          </cell>
          <cell r="I212">
            <v>0.52060000000000017</v>
          </cell>
          <cell r="J212">
            <v>0.52060000000000017</v>
          </cell>
          <cell r="K212">
            <v>0.52060000000000017</v>
          </cell>
          <cell r="L212">
            <v>0.52060000000000017</v>
          </cell>
          <cell r="M212">
            <v>0.52060000000000017</v>
          </cell>
          <cell r="N212">
            <v>0.52060000000000017</v>
          </cell>
          <cell r="P212">
            <v>0.52060000000000017</v>
          </cell>
          <cell r="Q212">
            <v>0.52060000000000017</v>
          </cell>
          <cell r="R212">
            <v>0.52060000000000017</v>
          </cell>
          <cell r="S212">
            <v>0.52060000000000017</v>
          </cell>
          <cell r="U212">
            <v>0.49457000000000012</v>
          </cell>
          <cell r="V212">
            <v>0.46984150000000008</v>
          </cell>
          <cell r="W212">
            <v>0.44634942500000008</v>
          </cell>
        </row>
        <row r="213">
          <cell r="A213" t="str">
            <v>97#1</v>
          </cell>
          <cell r="C213">
            <v>0.52060000000000017</v>
          </cell>
          <cell r="D213">
            <v>0.52060000000000017</v>
          </cell>
          <cell r="E213">
            <v>0.52060000000000017</v>
          </cell>
          <cell r="F213">
            <v>0.52060000000000017</v>
          </cell>
          <cell r="G213">
            <v>0.52060000000000017</v>
          </cell>
          <cell r="H213">
            <v>0.52060000000000017</v>
          </cell>
          <cell r="I213">
            <v>0.52060000000000017</v>
          </cell>
          <cell r="J213">
            <v>0.52060000000000017</v>
          </cell>
          <cell r="K213">
            <v>0.52060000000000017</v>
          </cell>
          <cell r="L213">
            <v>0.52060000000000017</v>
          </cell>
          <cell r="M213">
            <v>0.52060000000000017</v>
          </cell>
          <cell r="N213">
            <v>0.52060000000000017</v>
          </cell>
          <cell r="P213">
            <v>0.52060000000000017</v>
          </cell>
          <cell r="Q213">
            <v>0.52060000000000017</v>
          </cell>
          <cell r="R213">
            <v>0.52060000000000017</v>
          </cell>
          <cell r="S213">
            <v>0.52060000000000017</v>
          </cell>
          <cell r="U213">
            <v>0.49457000000000012</v>
          </cell>
          <cell r="V213">
            <v>0.46984150000000008</v>
          </cell>
          <cell r="W213">
            <v>0.44634942500000008</v>
          </cell>
        </row>
        <row r="214">
          <cell r="A214" t="str">
            <v>97#2</v>
          </cell>
          <cell r="C214">
            <v>0.52060000000000017</v>
          </cell>
          <cell r="D214">
            <v>0.52060000000000017</v>
          </cell>
          <cell r="E214">
            <v>0.52060000000000017</v>
          </cell>
          <cell r="F214">
            <v>0.52060000000000017</v>
          </cell>
          <cell r="G214">
            <v>0.52060000000000017</v>
          </cell>
          <cell r="H214">
            <v>0.52060000000000017</v>
          </cell>
          <cell r="I214">
            <v>0.52060000000000017</v>
          </cell>
          <cell r="J214">
            <v>0.52060000000000017</v>
          </cell>
          <cell r="K214">
            <v>0.52060000000000017</v>
          </cell>
          <cell r="L214">
            <v>0.52060000000000017</v>
          </cell>
          <cell r="M214">
            <v>0.52060000000000017</v>
          </cell>
          <cell r="N214">
            <v>0.52060000000000017</v>
          </cell>
          <cell r="P214">
            <v>0.52060000000000017</v>
          </cell>
          <cell r="Q214">
            <v>0.52060000000000017</v>
          </cell>
          <cell r="R214">
            <v>0.52060000000000017</v>
          </cell>
          <cell r="S214">
            <v>0.52060000000000017</v>
          </cell>
          <cell r="U214">
            <v>0.49457000000000012</v>
          </cell>
          <cell r="V214">
            <v>0.46984150000000008</v>
          </cell>
          <cell r="W214">
            <v>0.44634942500000008</v>
          </cell>
        </row>
        <row r="215">
          <cell r="A215" t="str">
            <v>98#1</v>
          </cell>
          <cell r="C215">
            <v>0.52060000000000017</v>
          </cell>
          <cell r="D215">
            <v>0.52060000000000017</v>
          </cell>
          <cell r="E215">
            <v>0.52060000000000017</v>
          </cell>
          <cell r="F215">
            <v>0.52060000000000017</v>
          </cell>
          <cell r="G215">
            <v>0.52060000000000017</v>
          </cell>
          <cell r="H215">
            <v>0.52060000000000017</v>
          </cell>
          <cell r="I215">
            <v>0.52060000000000017</v>
          </cell>
          <cell r="J215">
            <v>0.52060000000000017</v>
          </cell>
          <cell r="K215">
            <v>0.52060000000000017</v>
          </cell>
          <cell r="L215">
            <v>0.52060000000000017</v>
          </cell>
          <cell r="M215">
            <v>0.52060000000000017</v>
          </cell>
          <cell r="N215">
            <v>0.52060000000000017</v>
          </cell>
          <cell r="P215">
            <v>0.52060000000000017</v>
          </cell>
          <cell r="Q215">
            <v>0.52060000000000017</v>
          </cell>
          <cell r="R215">
            <v>0.52060000000000017</v>
          </cell>
          <cell r="S215">
            <v>0.52060000000000017</v>
          </cell>
          <cell r="U215">
            <v>0.49457000000000012</v>
          </cell>
          <cell r="V215">
            <v>0.46984150000000008</v>
          </cell>
          <cell r="W215">
            <v>0.44634942500000008</v>
          </cell>
        </row>
        <row r="216">
          <cell r="A216" t="str">
            <v>98#2</v>
          </cell>
          <cell r="C216">
            <v>0.52060000000000017</v>
          </cell>
          <cell r="D216">
            <v>0.52060000000000017</v>
          </cell>
          <cell r="E216">
            <v>0.52060000000000017</v>
          </cell>
          <cell r="F216">
            <v>0.52060000000000017</v>
          </cell>
          <cell r="G216">
            <v>0.52060000000000017</v>
          </cell>
          <cell r="H216">
            <v>0.52060000000000017</v>
          </cell>
          <cell r="I216">
            <v>0.52060000000000017</v>
          </cell>
          <cell r="J216">
            <v>0.52060000000000017</v>
          </cell>
          <cell r="K216">
            <v>0.52060000000000017</v>
          </cell>
          <cell r="L216">
            <v>0.52060000000000017</v>
          </cell>
          <cell r="M216">
            <v>0.52060000000000017</v>
          </cell>
          <cell r="N216">
            <v>0.52060000000000017</v>
          </cell>
          <cell r="P216">
            <v>0.52060000000000017</v>
          </cell>
          <cell r="Q216">
            <v>0.52060000000000017</v>
          </cell>
          <cell r="R216">
            <v>0.52060000000000017</v>
          </cell>
          <cell r="S216">
            <v>0.52060000000000017</v>
          </cell>
          <cell r="U216">
            <v>0.49457000000000012</v>
          </cell>
          <cell r="V216">
            <v>0.46984150000000008</v>
          </cell>
          <cell r="W216">
            <v>0.44634942500000008</v>
          </cell>
        </row>
        <row r="217">
          <cell r="A217" t="str">
            <v>Mos</v>
          </cell>
        </row>
        <row r="218">
          <cell r="A218" t="str">
            <v>Con</v>
          </cell>
          <cell r="C218">
            <v>2.5</v>
          </cell>
          <cell r="D218">
            <v>2.4951923076923075</v>
          </cell>
          <cell r="E218">
            <v>2.4951923076923075</v>
          </cell>
          <cell r="F218">
            <v>2.4951923076923075</v>
          </cell>
          <cell r="G218">
            <v>2.4951923076923075</v>
          </cell>
          <cell r="H218">
            <v>2.4951923076923075</v>
          </cell>
          <cell r="I218">
            <v>2.4951923076923075</v>
          </cell>
          <cell r="J218">
            <v>2.4951923076923075</v>
          </cell>
          <cell r="K218">
            <v>2.2999999999999998</v>
          </cell>
          <cell r="L218">
            <v>2.2999999999999998</v>
          </cell>
          <cell r="M218">
            <v>2.2999999999999998</v>
          </cell>
          <cell r="N218">
            <v>2.2999999999999998</v>
          </cell>
          <cell r="P218">
            <v>2.2999999999999998</v>
          </cell>
          <cell r="Q218">
            <v>2.2999999999999998</v>
          </cell>
          <cell r="R218">
            <v>2.15</v>
          </cell>
          <cell r="S218">
            <v>2.15</v>
          </cell>
          <cell r="U218">
            <v>2.1</v>
          </cell>
          <cell r="V218">
            <v>2.1</v>
          </cell>
          <cell r="W218">
            <v>2.1</v>
          </cell>
        </row>
        <row r="219">
          <cell r="A219" t="str">
            <v>Cell</v>
          </cell>
          <cell r="C219">
            <v>1.25</v>
          </cell>
          <cell r="D219">
            <v>1.25</v>
          </cell>
          <cell r="E219">
            <v>1.25</v>
          </cell>
          <cell r="F219">
            <v>1.25</v>
          </cell>
          <cell r="G219">
            <v>1.25</v>
          </cell>
          <cell r="H219">
            <v>1.25</v>
          </cell>
          <cell r="I219">
            <v>1.25</v>
          </cell>
          <cell r="J219">
            <v>1.25</v>
          </cell>
          <cell r="K219">
            <v>1.25</v>
          </cell>
          <cell r="L219">
            <v>1.25</v>
          </cell>
          <cell r="M219">
            <v>1.25</v>
          </cell>
          <cell r="N219">
            <v>1.25</v>
          </cell>
          <cell r="P219">
            <v>1.25</v>
          </cell>
          <cell r="Q219">
            <v>1.25</v>
          </cell>
          <cell r="R219">
            <v>1.25</v>
          </cell>
          <cell r="S219">
            <v>1.25</v>
          </cell>
          <cell r="U219">
            <v>1.2</v>
          </cell>
          <cell r="V219">
            <v>1.2</v>
          </cell>
          <cell r="W219">
            <v>1.2</v>
          </cell>
        </row>
        <row r="220">
          <cell r="A220" t="str">
            <v>Sov</v>
          </cell>
          <cell r="C220">
            <v>0.4</v>
          </cell>
          <cell r="D220">
            <v>0.4</v>
          </cell>
          <cell r="E220">
            <v>0.4</v>
          </cell>
          <cell r="F220">
            <v>0.4</v>
          </cell>
          <cell r="G220">
            <v>0.4</v>
          </cell>
          <cell r="H220">
            <v>0.4</v>
          </cell>
          <cell r="I220">
            <v>0.4</v>
          </cell>
          <cell r="J220">
            <v>0.4</v>
          </cell>
          <cell r="K220">
            <v>0.4</v>
          </cell>
          <cell r="L220">
            <v>0.4</v>
          </cell>
          <cell r="M220">
            <v>0.4</v>
          </cell>
          <cell r="N220">
            <v>0.4</v>
          </cell>
          <cell r="P220">
            <v>0.4</v>
          </cell>
          <cell r="Q220">
            <v>0.4</v>
          </cell>
          <cell r="R220">
            <v>0.4</v>
          </cell>
          <cell r="S220">
            <v>0.4</v>
          </cell>
          <cell r="U220">
            <v>0.4</v>
          </cell>
          <cell r="V220">
            <v>0.4</v>
          </cell>
          <cell r="W220">
            <v>0.4</v>
          </cell>
        </row>
        <row r="222">
          <cell r="A222" t="str">
            <v xml:space="preserve">MC Number of new lines </v>
          </cell>
        </row>
        <row r="223">
          <cell r="B223">
            <v>35765</v>
          </cell>
          <cell r="C223">
            <v>35796</v>
          </cell>
          <cell r="D223">
            <v>35827</v>
          </cell>
          <cell r="E223">
            <v>35855</v>
          </cell>
          <cell r="F223">
            <v>35886</v>
          </cell>
          <cell r="G223">
            <v>35916</v>
          </cell>
          <cell r="H223">
            <v>35947</v>
          </cell>
          <cell r="I223">
            <v>35977</v>
          </cell>
          <cell r="J223">
            <v>36008</v>
          </cell>
          <cell r="K223">
            <v>36039</v>
          </cell>
          <cell r="L223">
            <v>36069</v>
          </cell>
          <cell r="M223">
            <v>36100</v>
          </cell>
          <cell r="N223">
            <v>36130</v>
          </cell>
          <cell r="O223" t="str">
            <v>Total 98</v>
          </cell>
          <cell r="P223" t="str">
            <v>Q1-99</v>
          </cell>
          <cell r="Q223" t="str">
            <v>Q2-99</v>
          </cell>
          <cell r="R223" t="str">
            <v>Q3-99</v>
          </cell>
          <cell r="S223" t="str">
            <v>Q4-99</v>
          </cell>
          <cell r="T223" t="str">
            <v>Total 99</v>
          </cell>
          <cell r="U223">
            <v>2000</v>
          </cell>
          <cell r="V223">
            <v>2001</v>
          </cell>
          <cell r="W223">
            <v>2002</v>
          </cell>
        </row>
        <row r="224">
          <cell r="A224" t="str">
            <v>Ark</v>
          </cell>
          <cell r="B224">
            <v>5</v>
          </cell>
          <cell r="C224">
            <v>0</v>
          </cell>
          <cell r="D224">
            <v>0</v>
          </cell>
          <cell r="E224">
            <v>0</v>
          </cell>
          <cell r="F224">
            <v>1</v>
          </cell>
          <cell r="G224">
            <v>0</v>
          </cell>
          <cell r="H224">
            <v>1</v>
          </cell>
          <cell r="I224">
            <v>0</v>
          </cell>
          <cell r="J224">
            <v>0</v>
          </cell>
          <cell r="K224">
            <v>0</v>
          </cell>
          <cell r="L224">
            <v>1</v>
          </cell>
          <cell r="M224">
            <v>1</v>
          </cell>
          <cell r="N224">
            <v>0</v>
          </cell>
          <cell r="O224">
            <v>4</v>
          </cell>
          <cell r="P224">
            <v>1.2</v>
          </cell>
          <cell r="Q224">
            <v>1.56</v>
          </cell>
          <cell r="R224">
            <v>2.028</v>
          </cell>
          <cell r="S224">
            <v>2.6364000000000001</v>
          </cell>
          <cell r="T224">
            <v>7.4244000000000003</v>
          </cell>
          <cell r="U224">
            <v>9.651720000000001</v>
          </cell>
          <cell r="V224">
            <v>12.547236000000002</v>
          </cell>
          <cell r="W224">
            <v>16.311406800000004</v>
          </cell>
        </row>
        <row r="225">
          <cell r="A225" t="str">
            <v>Eka</v>
          </cell>
          <cell r="B225">
            <v>4</v>
          </cell>
          <cell r="C225">
            <v>0</v>
          </cell>
          <cell r="D225">
            <v>0</v>
          </cell>
          <cell r="E225">
            <v>0</v>
          </cell>
          <cell r="F225">
            <v>1</v>
          </cell>
          <cell r="G225">
            <v>0</v>
          </cell>
          <cell r="H225">
            <v>0</v>
          </cell>
          <cell r="I225">
            <v>0</v>
          </cell>
          <cell r="J225">
            <v>1</v>
          </cell>
          <cell r="K225">
            <v>0</v>
          </cell>
          <cell r="L225">
            <v>0</v>
          </cell>
          <cell r="M225">
            <v>0</v>
          </cell>
          <cell r="N225">
            <v>1</v>
          </cell>
          <cell r="O225">
            <v>3</v>
          </cell>
          <cell r="P225">
            <v>0.89999999999999991</v>
          </cell>
          <cell r="Q225">
            <v>1.17</v>
          </cell>
          <cell r="R225">
            <v>1.5209999999999999</v>
          </cell>
          <cell r="S225">
            <v>1.9773000000000001</v>
          </cell>
          <cell r="T225">
            <v>5.5682999999999998</v>
          </cell>
          <cell r="U225">
            <v>7.2387899999999998</v>
          </cell>
          <cell r="V225">
            <v>9.4104270000000003</v>
          </cell>
          <cell r="W225">
            <v>12.2335551</v>
          </cell>
        </row>
        <row r="226">
          <cell r="A226" t="str">
            <v>Irk</v>
          </cell>
          <cell r="B226">
            <v>4</v>
          </cell>
          <cell r="C226">
            <v>0</v>
          </cell>
          <cell r="D226">
            <v>1</v>
          </cell>
          <cell r="E226">
            <v>0</v>
          </cell>
          <cell r="F226">
            <v>1</v>
          </cell>
          <cell r="G226">
            <v>0</v>
          </cell>
          <cell r="H226">
            <v>0</v>
          </cell>
          <cell r="I226">
            <v>0</v>
          </cell>
          <cell r="J226">
            <v>1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4</v>
          </cell>
          <cell r="P226">
            <v>1.2</v>
          </cell>
          <cell r="Q226">
            <v>1.56</v>
          </cell>
          <cell r="R226">
            <v>2.028</v>
          </cell>
          <cell r="S226">
            <v>2.6364000000000001</v>
          </cell>
          <cell r="T226">
            <v>7.4244000000000003</v>
          </cell>
          <cell r="U226">
            <v>9.651720000000001</v>
          </cell>
          <cell r="V226">
            <v>12.547236000000002</v>
          </cell>
          <cell r="W226">
            <v>16.311406800000004</v>
          </cell>
        </row>
        <row r="227">
          <cell r="A227" t="str">
            <v>Kha</v>
          </cell>
          <cell r="B227">
            <v>5</v>
          </cell>
          <cell r="C227">
            <v>0</v>
          </cell>
          <cell r="D227">
            <v>1</v>
          </cell>
          <cell r="E227">
            <v>1</v>
          </cell>
          <cell r="F227">
            <v>0</v>
          </cell>
          <cell r="G227">
            <v>1</v>
          </cell>
          <cell r="H227">
            <v>0</v>
          </cell>
          <cell r="I227">
            <v>0</v>
          </cell>
          <cell r="J227">
            <v>1</v>
          </cell>
          <cell r="K227">
            <v>0</v>
          </cell>
          <cell r="L227">
            <v>1</v>
          </cell>
          <cell r="M227">
            <v>1</v>
          </cell>
          <cell r="N227">
            <v>0</v>
          </cell>
          <cell r="O227">
            <v>6</v>
          </cell>
          <cell r="P227">
            <v>1.7999999999999998</v>
          </cell>
          <cell r="Q227">
            <v>2.34</v>
          </cell>
          <cell r="R227">
            <v>3.0419999999999998</v>
          </cell>
          <cell r="S227">
            <v>3.9546000000000001</v>
          </cell>
          <cell r="T227">
            <v>11.1366</v>
          </cell>
          <cell r="U227">
            <v>14.47758</v>
          </cell>
          <cell r="V227">
            <v>18.820854000000001</v>
          </cell>
          <cell r="W227">
            <v>24.4671102</v>
          </cell>
        </row>
        <row r="228">
          <cell r="A228" t="str">
            <v>Kra</v>
          </cell>
          <cell r="B228">
            <v>19</v>
          </cell>
          <cell r="C228">
            <v>0</v>
          </cell>
          <cell r="D228">
            <v>1</v>
          </cell>
          <cell r="E228">
            <v>1</v>
          </cell>
          <cell r="F228">
            <v>1</v>
          </cell>
          <cell r="G228">
            <v>0</v>
          </cell>
          <cell r="H228">
            <v>1</v>
          </cell>
          <cell r="I228">
            <v>0</v>
          </cell>
          <cell r="J228">
            <v>1</v>
          </cell>
          <cell r="K228">
            <v>1</v>
          </cell>
          <cell r="L228">
            <v>0</v>
          </cell>
          <cell r="M228">
            <v>1</v>
          </cell>
          <cell r="N228">
            <v>1</v>
          </cell>
          <cell r="O228">
            <v>8</v>
          </cell>
          <cell r="P228">
            <v>2.4</v>
          </cell>
          <cell r="Q228">
            <v>3.12</v>
          </cell>
          <cell r="R228">
            <v>4.056</v>
          </cell>
          <cell r="S228">
            <v>5.2728000000000002</v>
          </cell>
          <cell r="T228">
            <v>14.848800000000001</v>
          </cell>
          <cell r="U228">
            <v>19.303440000000002</v>
          </cell>
          <cell r="V228">
            <v>25.094472000000003</v>
          </cell>
          <cell r="W228">
            <v>32.622813600000008</v>
          </cell>
        </row>
        <row r="229">
          <cell r="A229" t="str">
            <v>Niz</v>
          </cell>
          <cell r="B229">
            <v>4</v>
          </cell>
          <cell r="C229">
            <v>0</v>
          </cell>
          <cell r="D229">
            <v>1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1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3</v>
          </cell>
          <cell r="P229">
            <v>0.89999999999999991</v>
          </cell>
          <cell r="Q229">
            <v>1.17</v>
          </cell>
          <cell r="R229">
            <v>1.5209999999999999</v>
          </cell>
          <cell r="S229">
            <v>1.9773000000000001</v>
          </cell>
          <cell r="T229">
            <v>5.5682999999999998</v>
          </cell>
          <cell r="U229">
            <v>7.2387899999999998</v>
          </cell>
          <cell r="V229">
            <v>9.4104270000000003</v>
          </cell>
          <cell r="W229">
            <v>12.2335551</v>
          </cell>
        </row>
        <row r="230">
          <cell r="A230" t="str">
            <v>Nov</v>
          </cell>
          <cell r="B230">
            <v>5</v>
          </cell>
          <cell r="C230">
            <v>0</v>
          </cell>
          <cell r="D230">
            <v>0</v>
          </cell>
          <cell r="E230">
            <v>1</v>
          </cell>
          <cell r="F230">
            <v>1</v>
          </cell>
          <cell r="G230">
            <v>0</v>
          </cell>
          <cell r="H230">
            <v>0</v>
          </cell>
          <cell r="I230">
            <v>1</v>
          </cell>
          <cell r="J230">
            <v>0</v>
          </cell>
          <cell r="K230">
            <v>1</v>
          </cell>
          <cell r="L230">
            <v>0</v>
          </cell>
          <cell r="M230">
            <v>1</v>
          </cell>
          <cell r="N230">
            <v>0</v>
          </cell>
          <cell r="O230">
            <v>5</v>
          </cell>
          <cell r="P230">
            <v>1.5</v>
          </cell>
          <cell r="Q230">
            <v>1.9500000000000002</v>
          </cell>
          <cell r="R230">
            <v>2.5350000000000001</v>
          </cell>
          <cell r="S230">
            <v>3.2955000000000001</v>
          </cell>
          <cell r="T230">
            <v>9.2805</v>
          </cell>
          <cell r="U230">
            <v>12.06465</v>
          </cell>
          <cell r="V230">
            <v>15.684045000000001</v>
          </cell>
          <cell r="W230">
            <v>20.3892585</v>
          </cell>
        </row>
        <row r="231">
          <cell r="A231" t="str">
            <v>Syk</v>
          </cell>
          <cell r="B231">
            <v>7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1</v>
          </cell>
          <cell r="O231">
            <v>2</v>
          </cell>
          <cell r="P231">
            <v>0.6</v>
          </cell>
          <cell r="Q231">
            <v>0.78</v>
          </cell>
          <cell r="R231">
            <v>1.014</v>
          </cell>
          <cell r="S231">
            <v>1.3182</v>
          </cell>
          <cell r="T231">
            <v>3.7122000000000002</v>
          </cell>
          <cell r="U231">
            <v>4.8258600000000005</v>
          </cell>
          <cell r="V231">
            <v>6.2736180000000008</v>
          </cell>
          <cell r="W231">
            <v>8.1557034000000019</v>
          </cell>
        </row>
        <row r="232">
          <cell r="A232" t="str">
            <v>Tyu</v>
          </cell>
          <cell r="B232">
            <v>3</v>
          </cell>
          <cell r="C232">
            <v>0</v>
          </cell>
          <cell r="D232">
            <v>1</v>
          </cell>
          <cell r="E232">
            <v>0</v>
          </cell>
          <cell r="F232">
            <v>0</v>
          </cell>
          <cell r="G232">
            <v>0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3</v>
          </cell>
          <cell r="P232">
            <v>0.89999999999999991</v>
          </cell>
          <cell r="Q232">
            <v>1.17</v>
          </cell>
          <cell r="R232">
            <v>1.5209999999999999</v>
          </cell>
          <cell r="S232">
            <v>1.9773000000000001</v>
          </cell>
          <cell r="T232">
            <v>5.5682999999999998</v>
          </cell>
          <cell r="U232">
            <v>7.2387899999999998</v>
          </cell>
          <cell r="V232">
            <v>9.4104270000000003</v>
          </cell>
          <cell r="W232">
            <v>12.2335551</v>
          </cell>
        </row>
        <row r="233">
          <cell r="A233" t="str">
            <v>Ufa</v>
          </cell>
          <cell r="B233">
            <v>2</v>
          </cell>
          <cell r="C233">
            <v>0</v>
          </cell>
          <cell r="D233">
            <v>1</v>
          </cell>
          <cell r="E233">
            <v>0</v>
          </cell>
          <cell r="F233">
            <v>0</v>
          </cell>
          <cell r="G233">
            <v>1</v>
          </cell>
          <cell r="H233">
            <v>0</v>
          </cell>
          <cell r="I233">
            <v>0</v>
          </cell>
          <cell r="J233">
            <v>1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3</v>
          </cell>
          <cell r="P233">
            <v>0.89999999999999991</v>
          </cell>
          <cell r="Q233">
            <v>1.17</v>
          </cell>
          <cell r="R233">
            <v>1.5209999999999999</v>
          </cell>
          <cell r="S233">
            <v>1.9773000000000001</v>
          </cell>
          <cell r="T233">
            <v>5.5682999999999998</v>
          </cell>
          <cell r="U233">
            <v>7.2387899999999998</v>
          </cell>
          <cell r="V233">
            <v>9.4104270000000003</v>
          </cell>
          <cell r="W233">
            <v>12.2335551</v>
          </cell>
        </row>
        <row r="234">
          <cell r="A234" t="str">
            <v>Vla</v>
          </cell>
          <cell r="B234">
            <v>9</v>
          </cell>
          <cell r="C234">
            <v>0</v>
          </cell>
          <cell r="D234">
            <v>1</v>
          </cell>
          <cell r="E234">
            <v>0</v>
          </cell>
          <cell r="F234">
            <v>0</v>
          </cell>
          <cell r="G234">
            <v>1</v>
          </cell>
          <cell r="H234">
            <v>0</v>
          </cell>
          <cell r="I234">
            <v>0</v>
          </cell>
          <cell r="J234">
            <v>1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4</v>
          </cell>
          <cell r="P234">
            <v>1.2</v>
          </cell>
          <cell r="Q234">
            <v>1.56</v>
          </cell>
          <cell r="R234">
            <v>2.028</v>
          </cell>
          <cell r="S234">
            <v>2.6364000000000001</v>
          </cell>
          <cell r="T234">
            <v>7.4244000000000003</v>
          </cell>
          <cell r="U234">
            <v>9.651720000000001</v>
          </cell>
          <cell r="V234">
            <v>12.547236000000002</v>
          </cell>
          <cell r="W234">
            <v>16.311406800000004</v>
          </cell>
        </row>
        <row r="235">
          <cell r="A235" t="str">
            <v>Vol</v>
          </cell>
          <cell r="B235">
            <v>0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O235">
            <v>2</v>
          </cell>
          <cell r="P235">
            <v>0.6</v>
          </cell>
          <cell r="Q235">
            <v>0.78</v>
          </cell>
          <cell r="R235">
            <v>1.014</v>
          </cell>
          <cell r="S235">
            <v>1.3182</v>
          </cell>
          <cell r="T235">
            <v>3.7122000000000002</v>
          </cell>
          <cell r="U235">
            <v>4.8258600000000005</v>
          </cell>
          <cell r="V235">
            <v>6.2736180000000008</v>
          </cell>
          <cell r="W235">
            <v>8.1557034000000019</v>
          </cell>
        </row>
        <row r="236">
          <cell r="A236" t="str">
            <v>Vor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1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0.3</v>
          </cell>
          <cell r="Q236">
            <v>0.39</v>
          </cell>
          <cell r="R236">
            <v>0.50700000000000001</v>
          </cell>
          <cell r="S236">
            <v>0.65910000000000002</v>
          </cell>
          <cell r="T236">
            <v>1.8561000000000001</v>
          </cell>
          <cell r="U236">
            <v>2.4129300000000002</v>
          </cell>
          <cell r="V236">
            <v>3.1368090000000004</v>
          </cell>
          <cell r="W236">
            <v>4.077851700000001</v>
          </cell>
        </row>
        <row r="237">
          <cell r="A237" t="str">
            <v>97#1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0</v>
          </cell>
          <cell r="K237">
            <v>1</v>
          </cell>
          <cell r="L237">
            <v>0</v>
          </cell>
          <cell r="M237">
            <v>1</v>
          </cell>
          <cell r="N237">
            <v>0</v>
          </cell>
          <cell r="O237">
            <v>4</v>
          </cell>
          <cell r="P237">
            <v>1.2</v>
          </cell>
          <cell r="Q237">
            <v>1.56</v>
          </cell>
          <cell r="R237">
            <v>2.028</v>
          </cell>
          <cell r="S237">
            <v>2.6364000000000001</v>
          </cell>
          <cell r="T237">
            <v>7.4244000000000003</v>
          </cell>
          <cell r="U237">
            <v>9.651720000000001</v>
          </cell>
          <cell r="V237">
            <v>12.547236000000002</v>
          </cell>
          <cell r="W237">
            <v>16.311406800000004</v>
          </cell>
        </row>
        <row r="238">
          <cell r="A238" t="str">
            <v>97#2</v>
          </cell>
          <cell r="B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1</v>
          </cell>
          <cell r="P238">
            <v>0.3</v>
          </cell>
          <cell r="Q238">
            <v>0.39</v>
          </cell>
          <cell r="R238">
            <v>0.50700000000000001</v>
          </cell>
          <cell r="S238">
            <v>0.65910000000000002</v>
          </cell>
          <cell r="T238">
            <v>1.8561000000000001</v>
          </cell>
          <cell r="U238">
            <v>2.4129300000000002</v>
          </cell>
          <cell r="V238">
            <v>3.1368090000000004</v>
          </cell>
          <cell r="W238">
            <v>4.077851700000001</v>
          </cell>
        </row>
        <row r="239">
          <cell r="A239" t="str">
            <v>98#1</v>
          </cell>
          <cell r="B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1</v>
          </cell>
          <cell r="M239">
            <v>0</v>
          </cell>
          <cell r="N239">
            <v>0</v>
          </cell>
          <cell r="O239">
            <v>1</v>
          </cell>
          <cell r="P239">
            <v>0.3</v>
          </cell>
          <cell r="Q239">
            <v>0.39</v>
          </cell>
          <cell r="R239">
            <v>0.50700000000000001</v>
          </cell>
          <cell r="S239">
            <v>0.65910000000000002</v>
          </cell>
          <cell r="T239">
            <v>1.8561000000000001</v>
          </cell>
          <cell r="U239">
            <v>2.4129300000000002</v>
          </cell>
          <cell r="V239">
            <v>3.1368090000000004</v>
          </cell>
          <cell r="W239">
            <v>4.077851700000001</v>
          </cell>
        </row>
        <row r="240">
          <cell r="A240" t="str">
            <v>98#2</v>
          </cell>
          <cell r="B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1</v>
          </cell>
          <cell r="P240">
            <v>0.3</v>
          </cell>
          <cell r="Q240">
            <v>0.39</v>
          </cell>
          <cell r="R240">
            <v>0.50700000000000001</v>
          </cell>
          <cell r="S240">
            <v>0.65910000000000002</v>
          </cell>
          <cell r="T240">
            <v>1.8561000000000001</v>
          </cell>
          <cell r="U240">
            <v>2.4129300000000002</v>
          </cell>
          <cell r="V240">
            <v>3.1368090000000004</v>
          </cell>
          <cell r="W240">
            <v>4.077851700000001</v>
          </cell>
        </row>
        <row r="241">
          <cell r="A241" t="str">
            <v>Mos</v>
          </cell>
          <cell r="O241">
            <v>0</v>
          </cell>
          <cell r="T241">
            <v>0</v>
          </cell>
        </row>
        <row r="242">
          <cell r="A242" t="str">
            <v>Con</v>
          </cell>
          <cell r="B242">
            <v>67</v>
          </cell>
          <cell r="C242">
            <v>1</v>
          </cell>
          <cell r="D242">
            <v>7</v>
          </cell>
          <cell r="E242">
            <v>3</v>
          </cell>
          <cell r="F242">
            <v>6</v>
          </cell>
          <cell r="G242">
            <v>3</v>
          </cell>
          <cell r="H242">
            <v>4</v>
          </cell>
          <cell r="I242">
            <v>5</v>
          </cell>
          <cell r="J242">
            <v>6</v>
          </cell>
          <cell r="K242">
            <v>4</v>
          </cell>
          <cell r="L242">
            <v>4</v>
          </cell>
          <cell r="M242">
            <v>9</v>
          </cell>
          <cell r="N242">
            <v>3</v>
          </cell>
          <cell r="O242">
            <v>55</v>
          </cell>
          <cell r="P242">
            <v>16.5</v>
          </cell>
          <cell r="Q242">
            <v>21.450000000000003</v>
          </cell>
          <cell r="R242">
            <v>27.885000000000005</v>
          </cell>
          <cell r="S242">
            <v>36.250500000000009</v>
          </cell>
          <cell r="T242">
            <v>102.08550000000002</v>
          </cell>
          <cell r="U242">
            <v>132.71114999999998</v>
          </cell>
          <cell r="V242">
            <v>172.524495</v>
          </cell>
          <cell r="W242">
            <v>224.28184349999998</v>
          </cell>
        </row>
        <row r="262">
          <cell r="A262" t="str">
            <v>MC Monthly fee</v>
          </cell>
        </row>
        <row r="263">
          <cell r="B263">
            <v>35765</v>
          </cell>
          <cell r="C263">
            <v>35796</v>
          </cell>
          <cell r="D263">
            <v>35827</v>
          </cell>
          <cell r="E263">
            <v>35855</v>
          </cell>
          <cell r="F263">
            <v>35886</v>
          </cell>
          <cell r="G263">
            <v>35916</v>
          </cell>
          <cell r="H263">
            <v>35947</v>
          </cell>
          <cell r="I263">
            <v>35977</v>
          </cell>
          <cell r="J263">
            <v>36008</v>
          </cell>
          <cell r="K263">
            <v>36039</v>
          </cell>
          <cell r="L263">
            <v>36069</v>
          </cell>
          <cell r="M263">
            <v>36100</v>
          </cell>
          <cell r="N263">
            <v>36130</v>
          </cell>
          <cell r="O263" t="str">
            <v>Total 98</v>
          </cell>
          <cell r="P263" t="str">
            <v>Q1-99</v>
          </cell>
          <cell r="Q263" t="str">
            <v>Q2-99</v>
          </cell>
          <cell r="R263" t="str">
            <v>Q3-99</v>
          </cell>
          <cell r="S263" t="str">
            <v>Q4-99</v>
          </cell>
          <cell r="T263" t="str">
            <v>Total 99</v>
          </cell>
          <cell r="U263">
            <v>2000</v>
          </cell>
          <cell r="V263">
            <v>2001</v>
          </cell>
          <cell r="W263">
            <v>2002</v>
          </cell>
        </row>
        <row r="264">
          <cell r="A264" t="str">
            <v>Ark</v>
          </cell>
          <cell r="C264">
            <v>903</v>
          </cell>
          <cell r="D264">
            <v>903</v>
          </cell>
          <cell r="E264">
            <v>903</v>
          </cell>
          <cell r="F264">
            <v>903</v>
          </cell>
          <cell r="G264">
            <v>903</v>
          </cell>
          <cell r="H264">
            <v>903</v>
          </cell>
          <cell r="I264">
            <v>903</v>
          </cell>
          <cell r="J264">
            <v>903</v>
          </cell>
          <cell r="K264">
            <v>903</v>
          </cell>
          <cell r="L264">
            <v>903</v>
          </cell>
          <cell r="M264">
            <v>903</v>
          </cell>
          <cell r="N264">
            <v>903</v>
          </cell>
          <cell r="P264">
            <v>903</v>
          </cell>
          <cell r="Q264">
            <v>903</v>
          </cell>
          <cell r="R264">
            <v>903</v>
          </cell>
          <cell r="S264">
            <v>903</v>
          </cell>
          <cell r="U264">
            <v>857.84999999999991</v>
          </cell>
          <cell r="V264">
            <v>814.95749999999987</v>
          </cell>
          <cell r="W264">
            <v>774.20962499999985</v>
          </cell>
        </row>
        <row r="265">
          <cell r="A265" t="str">
            <v>Eka</v>
          </cell>
          <cell r="C265">
            <v>903</v>
          </cell>
          <cell r="D265">
            <v>903</v>
          </cell>
          <cell r="E265">
            <v>903</v>
          </cell>
          <cell r="F265">
            <v>903</v>
          </cell>
          <cell r="G265">
            <v>903</v>
          </cell>
          <cell r="H265">
            <v>903</v>
          </cell>
          <cell r="I265">
            <v>903</v>
          </cell>
          <cell r="J265">
            <v>903</v>
          </cell>
          <cell r="K265">
            <v>903</v>
          </cell>
          <cell r="L265">
            <v>903</v>
          </cell>
          <cell r="M265">
            <v>903</v>
          </cell>
          <cell r="N265">
            <v>903</v>
          </cell>
          <cell r="P265">
            <v>903</v>
          </cell>
          <cell r="Q265">
            <v>903</v>
          </cell>
          <cell r="R265">
            <v>903</v>
          </cell>
          <cell r="S265">
            <v>903</v>
          </cell>
          <cell r="U265">
            <v>857.84999999999991</v>
          </cell>
          <cell r="V265">
            <v>814.95749999999987</v>
          </cell>
          <cell r="W265">
            <v>774.20962499999985</v>
          </cell>
        </row>
        <row r="266">
          <cell r="A266" t="str">
            <v>Irk</v>
          </cell>
          <cell r="C266">
            <v>903</v>
          </cell>
          <cell r="D266">
            <v>903</v>
          </cell>
          <cell r="E266">
            <v>903</v>
          </cell>
          <cell r="F266">
            <v>903</v>
          </cell>
          <cell r="G266">
            <v>903</v>
          </cell>
          <cell r="H266">
            <v>903</v>
          </cell>
          <cell r="I266">
            <v>903</v>
          </cell>
          <cell r="J266">
            <v>903</v>
          </cell>
          <cell r="K266">
            <v>903</v>
          </cell>
          <cell r="L266">
            <v>903</v>
          </cell>
          <cell r="M266">
            <v>903</v>
          </cell>
          <cell r="N266">
            <v>903</v>
          </cell>
          <cell r="P266">
            <v>903</v>
          </cell>
          <cell r="Q266">
            <v>903</v>
          </cell>
          <cell r="R266">
            <v>903</v>
          </cell>
          <cell r="S266">
            <v>903</v>
          </cell>
          <cell r="U266">
            <v>857.84999999999991</v>
          </cell>
          <cell r="V266">
            <v>814.95749999999987</v>
          </cell>
          <cell r="W266">
            <v>774.20962499999985</v>
          </cell>
        </row>
        <row r="267">
          <cell r="A267" t="str">
            <v>Kha</v>
          </cell>
          <cell r="C267">
            <v>903</v>
          </cell>
          <cell r="D267">
            <v>903</v>
          </cell>
          <cell r="E267">
            <v>903</v>
          </cell>
          <cell r="F267">
            <v>903</v>
          </cell>
          <cell r="G267">
            <v>903</v>
          </cell>
          <cell r="H267">
            <v>903</v>
          </cell>
          <cell r="I267">
            <v>903</v>
          </cell>
          <cell r="J267">
            <v>903</v>
          </cell>
          <cell r="K267">
            <v>903</v>
          </cell>
          <cell r="L267">
            <v>903</v>
          </cell>
          <cell r="M267">
            <v>903</v>
          </cell>
          <cell r="N267">
            <v>903</v>
          </cell>
          <cell r="P267">
            <v>903</v>
          </cell>
          <cell r="Q267">
            <v>903</v>
          </cell>
          <cell r="R267">
            <v>903</v>
          </cell>
          <cell r="S267">
            <v>903</v>
          </cell>
          <cell r="U267">
            <v>857.84999999999991</v>
          </cell>
          <cell r="V267">
            <v>814.95749999999987</v>
          </cell>
          <cell r="W267">
            <v>774.20962499999985</v>
          </cell>
        </row>
        <row r="268">
          <cell r="A268" t="str">
            <v>Kra</v>
          </cell>
          <cell r="C268">
            <v>903</v>
          </cell>
          <cell r="D268">
            <v>903</v>
          </cell>
          <cell r="E268">
            <v>903</v>
          </cell>
          <cell r="F268">
            <v>903</v>
          </cell>
          <cell r="G268">
            <v>903</v>
          </cell>
          <cell r="H268">
            <v>903</v>
          </cell>
          <cell r="I268">
            <v>903</v>
          </cell>
          <cell r="J268">
            <v>903</v>
          </cell>
          <cell r="K268">
            <v>903</v>
          </cell>
          <cell r="L268">
            <v>903</v>
          </cell>
          <cell r="M268">
            <v>903</v>
          </cell>
          <cell r="N268">
            <v>903</v>
          </cell>
          <cell r="P268">
            <v>903</v>
          </cell>
          <cell r="Q268">
            <v>903</v>
          </cell>
          <cell r="R268">
            <v>903</v>
          </cell>
          <cell r="S268">
            <v>903</v>
          </cell>
          <cell r="U268">
            <v>857.84999999999991</v>
          </cell>
          <cell r="V268">
            <v>814.95749999999987</v>
          </cell>
          <cell r="W268">
            <v>774.20962499999985</v>
          </cell>
        </row>
        <row r="269">
          <cell r="A269" t="str">
            <v>Niz</v>
          </cell>
          <cell r="C269">
            <v>903</v>
          </cell>
          <cell r="D269">
            <v>903</v>
          </cell>
          <cell r="E269">
            <v>903</v>
          </cell>
          <cell r="F269">
            <v>903</v>
          </cell>
          <cell r="G269">
            <v>903</v>
          </cell>
          <cell r="H269">
            <v>903</v>
          </cell>
          <cell r="I269">
            <v>903</v>
          </cell>
          <cell r="J269">
            <v>903</v>
          </cell>
          <cell r="K269">
            <v>903</v>
          </cell>
          <cell r="L269">
            <v>903</v>
          </cell>
          <cell r="M269">
            <v>903</v>
          </cell>
          <cell r="N269">
            <v>903</v>
          </cell>
          <cell r="P269">
            <v>903</v>
          </cell>
          <cell r="Q269">
            <v>903</v>
          </cell>
          <cell r="R269">
            <v>903</v>
          </cell>
          <cell r="S269">
            <v>903</v>
          </cell>
          <cell r="U269">
            <v>857.84999999999991</v>
          </cell>
          <cell r="V269">
            <v>814.95749999999987</v>
          </cell>
          <cell r="W269">
            <v>774.20962499999985</v>
          </cell>
        </row>
        <row r="270">
          <cell r="A270" t="str">
            <v>Nov</v>
          </cell>
          <cell r="C270">
            <v>903</v>
          </cell>
          <cell r="D270">
            <v>903</v>
          </cell>
          <cell r="E270">
            <v>903</v>
          </cell>
          <cell r="F270">
            <v>903</v>
          </cell>
          <cell r="G270">
            <v>903</v>
          </cell>
          <cell r="H270">
            <v>903</v>
          </cell>
          <cell r="I270">
            <v>903</v>
          </cell>
          <cell r="J270">
            <v>903</v>
          </cell>
          <cell r="K270">
            <v>903</v>
          </cell>
          <cell r="L270">
            <v>903</v>
          </cell>
          <cell r="M270">
            <v>903</v>
          </cell>
          <cell r="N270">
            <v>903</v>
          </cell>
          <cell r="P270">
            <v>903</v>
          </cell>
          <cell r="Q270">
            <v>903</v>
          </cell>
          <cell r="R270">
            <v>903</v>
          </cell>
          <cell r="S270">
            <v>903</v>
          </cell>
          <cell r="U270">
            <v>857.84999999999991</v>
          </cell>
          <cell r="V270">
            <v>814.95749999999987</v>
          </cell>
          <cell r="W270">
            <v>774.20962499999985</v>
          </cell>
        </row>
        <row r="271">
          <cell r="A271" t="str">
            <v>Syk</v>
          </cell>
          <cell r="C271">
            <v>903</v>
          </cell>
          <cell r="D271">
            <v>903</v>
          </cell>
          <cell r="E271">
            <v>903</v>
          </cell>
          <cell r="F271">
            <v>903</v>
          </cell>
          <cell r="G271">
            <v>903</v>
          </cell>
          <cell r="H271">
            <v>903</v>
          </cell>
          <cell r="I271">
            <v>903</v>
          </cell>
          <cell r="J271">
            <v>903</v>
          </cell>
          <cell r="K271">
            <v>903</v>
          </cell>
          <cell r="L271">
            <v>903</v>
          </cell>
          <cell r="M271">
            <v>903</v>
          </cell>
          <cell r="N271">
            <v>903</v>
          </cell>
          <cell r="P271">
            <v>903</v>
          </cell>
          <cell r="Q271">
            <v>903</v>
          </cell>
          <cell r="R271">
            <v>903</v>
          </cell>
          <cell r="S271">
            <v>903</v>
          </cell>
          <cell r="U271">
            <v>857.84999999999991</v>
          </cell>
          <cell r="V271">
            <v>814.95749999999987</v>
          </cell>
          <cell r="W271">
            <v>774.20962499999985</v>
          </cell>
        </row>
        <row r="272">
          <cell r="A272" t="str">
            <v>Tyu</v>
          </cell>
          <cell r="C272">
            <v>903</v>
          </cell>
          <cell r="D272">
            <v>903</v>
          </cell>
          <cell r="E272">
            <v>903</v>
          </cell>
          <cell r="F272">
            <v>903</v>
          </cell>
          <cell r="G272">
            <v>903</v>
          </cell>
          <cell r="H272">
            <v>903</v>
          </cell>
          <cell r="I272">
            <v>903</v>
          </cell>
          <cell r="J272">
            <v>903</v>
          </cell>
          <cell r="K272">
            <v>903</v>
          </cell>
          <cell r="L272">
            <v>903</v>
          </cell>
          <cell r="M272">
            <v>903</v>
          </cell>
          <cell r="N272">
            <v>903</v>
          </cell>
          <cell r="P272">
            <v>903</v>
          </cell>
          <cell r="Q272">
            <v>903</v>
          </cell>
          <cell r="R272">
            <v>903</v>
          </cell>
          <cell r="S272">
            <v>903</v>
          </cell>
          <cell r="U272">
            <v>857.84999999999991</v>
          </cell>
          <cell r="V272">
            <v>814.95749999999987</v>
          </cell>
          <cell r="W272">
            <v>774.20962499999985</v>
          </cell>
        </row>
        <row r="273">
          <cell r="A273" t="str">
            <v>Ufa</v>
          </cell>
          <cell r="C273">
            <v>903</v>
          </cell>
          <cell r="D273">
            <v>903</v>
          </cell>
          <cell r="E273">
            <v>903</v>
          </cell>
          <cell r="F273">
            <v>903</v>
          </cell>
          <cell r="G273">
            <v>903</v>
          </cell>
          <cell r="H273">
            <v>903</v>
          </cell>
          <cell r="I273">
            <v>903</v>
          </cell>
          <cell r="J273">
            <v>903</v>
          </cell>
          <cell r="K273">
            <v>903</v>
          </cell>
          <cell r="L273">
            <v>903</v>
          </cell>
          <cell r="M273">
            <v>903</v>
          </cell>
          <cell r="N273">
            <v>903</v>
          </cell>
          <cell r="P273">
            <v>903</v>
          </cell>
          <cell r="Q273">
            <v>903</v>
          </cell>
          <cell r="R273">
            <v>903</v>
          </cell>
          <cell r="S273">
            <v>903</v>
          </cell>
          <cell r="U273">
            <v>857.84999999999991</v>
          </cell>
          <cell r="V273">
            <v>814.95749999999987</v>
          </cell>
          <cell r="W273">
            <v>774.20962499999985</v>
          </cell>
        </row>
        <row r="274">
          <cell r="A274" t="str">
            <v>Vla</v>
          </cell>
          <cell r="C274">
            <v>903</v>
          </cell>
          <cell r="D274">
            <v>903</v>
          </cell>
          <cell r="E274">
            <v>903</v>
          </cell>
          <cell r="F274">
            <v>903</v>
          </cell>
          <cell r="G274">
            <v>903</v>
          </cell>
          <cell r="H274">
            <v>903</v>
          </cell>
          <cell r="I274">
            <v>903</v>
          </cell>
          <cell r="J274">
            <v>903</v>
          </cell>
          <cell r="K274">
            <v>903</v>
          </cell>
          <cell r="L274">
            <v>903</v>
          </cell>
          <cell r="M274">
            <v>903</v>
          </cell>
          <cell r="N274">
            <v>903</v>
          </cell>
          <cell r="P274">
            <v>903</v>
          </cell>
          <cell r="Q274">
            <v>903</v>
          </cell>
          <cell r="R274">
            <v>903</v>
          </cell>
          <cell r="S274">
            <v>903</v>
          </cell>
          <cell r="U274">
            <v>857.84999999999991</v>
          </cell>
          <cell r="V274">
            <v>814.95749999999987</v>
          </cell>
          <cell r="W274">
            <v>774.20962499999985</v>
          </cell>
        </row>
        <row r="275">
          <cell r="A275" t="str">
            <v>Vol</v>
          </cell>
          <cell r="C275">
            <v>903</v>
          </cell>
          <cell r="D275">
            <v>903</v>
          </cell>
          <cell r="E275">
            <v>903</v>
          </cell>
          <cell r="F275">
            <v>903</v>
          </cell>
          <cell r="G275">
            <v>903</v>
          </cell>
          <cell r="H275">
            <v>903</v>
          </cell>
          <cell r="I275">
            <v>903</v>
          </cell>
          <cell r="J275">
            <v>903</v>
          </cell>
          <cell r="K275">
            <v>903</v>
          </cell>
          <cell r="L275">
            <v>903</v>
          </cell>
          <cell r="M275">
            <v>903</v>
          </cell>
          <cell r="N275">
            <v>903</v>
          </cell>
          <cell r="P275">
            <v>903</v>
          </cell>
          <cell r="Q275">
            <v>903</v>
          </cell>
          <cell r="R275">
            <v>903</v>
          </cell>
          <cell r="S275">
            <v>903</v>
          </cell>
          <cell r="U275">
            <v>857.84999999999991</v>
          </cell>
          <cell r="V275">
            <v>814.95749999999987</v>
          </cell>
          <cell r="W275">
            <v>774.20962499999985</v>
          </cell>
        </row>
        <row r="276">
          <cell r="A276" t="str">
            <v>Vor</v>
          </cell>
          <cell r="C276">
            <v>903</v>
          </cell>
          <cell r="D276">
            <v>903</v>
          </cell>
          <cell r="E276">
            <v>903</v>
          </cell>
          <cell r="F276">
            <v>903</v>
          </cell>
          <cell r="G276">
            <v>903</v>
          </cell>
          <cell r="H276">
            <v>903</v>
          </cell>
          <cell r="I276">
            <v>903</v>
          </cell>
          <cell r="J276">
            <v>903</v>
          </cell>
          <cell r="K276">
            <v>903</v>
          </cell>
          <cell r="L276">
            <v>903</v>
          </cell>
          <cell r="M276">
            <v>903</v>
          </cell>
          <cell r="N276">
            <v>903</v>
          </cell>
          <cell r="P276">
            <v>903</v>
          </cell>
          <cell r="Q276">
            <v>903</v>
          </cell>
          <cell r="R276">
            <v>903</v>
          </cell>
          <cell r="S276">
            <v>903</v>
          </cell>
          <cell r="U276">
            <v>857.84999999999991</v>
          </cell>
          <cell r="V276">
            <v>814.95749999999987</v>
          </cell>
          <cell r="W276">
            <v>774.20962499999985</v>
          </cell>
        </row>
        <row r="277">
          <cell r="A277" t="str">
            <v>97#1</v>
          </cell>
          <cell r="C277">
            <v>903</v>
          </cell>
          <cell r="D277">
            <v>903</v>
          </cell>
          <cell r="E277">
            <v>903</v>
          </cell>
          <cell r="F277">
            <v>903</v>
          </cell>
          <cell r="G277">
            <v>903</v>
          </cell>
          <cell r="H277">
            <v>903</v>
          </cell>
          <cell r="I277">
            <v>903</v>
          </cell>
          <cell r="J277">
            <v>903</v>
          </cell>
          <cell r="K277">
            <v>903</v>
          </cell>
          <cell r="L277">
            <v>903</v>
          </cell>
          <cell r="M277">
            <v>903</v>
          </cell>
          <cell r="N277">
            <v>903</v>
          </cell>
          <cell r="P277">
            <v>903</v>
          </cell>
          <cell r="Q277">
            <v>903</v>
          </cell>
          <cell r="R277">
            <v>903</v>
          </cell>
          <cell r="S277">
            <v>903</v>
          </cell>
          <cell r="U277">
            <v>857.84999999999991</v>
          </cell>
          <cell r="V277">
            <v>814.95749999999987</v>
          </cell>
          <cell r="W277">
            <v>774.20962499999985</v>
          </cell>
        </row>
        <row r="278">
          <cell r="A278" t="str">
            <v>97#2</v>
          </cell>
          <cell r="C278">
            <v>903</v>
          </cell>
          <cell r="D278">
            <v>903</v>
          </cell>
          <cell r="E278">
            <v>903</v>
          </cell>
          <cell r="F278">
            <v>903</v>
          </cell>
          <cell r="G278">
            <v>903</v>
          </cell>
          <cell r="H278">
            <v>903</v>
          </cell>
          <cell r="I278">
            <v>903</v>
          </cell>
          <cell r="J278">
            <v>903</v>
          </cell>
          <cell r="K278">
            <v>903</v>
          </cell>
          <cell r="L278">
            <v>903</v>
          </cell>
          <cell r="M278">
            <v>903</v>
          </cell>
          <cell r="N278">
            <v>903</v>
          </cell>
          <cell r="P278">
            <v>903</v>
          </cell>
          <cell r="Q278">
            <v>903</v>
          </cell>
          <cell r="R278">
            <v>903</v>
          </cell>
          <cell r="S278">
            <v>903</v>
          </cell>
          <cell r="U278">
            <v>857.84999999999991</v>
          </cell>
          <cell r="V278">
            <v>814.95749999999987</v>
          </cell>
          <cell r="W278">
            <v>774.20962499999985</v>
          </cell>
        </row>
        <row r="279">
          <cell r="A279" t="str">
            <v>98#1</v>
          </cell>
          <cell r="C279">
            <v>903</v>
          </cell>
          <cell r="D279">
            <v>903</v>
          </cell>
          <cell r="E279">
            <v>903</v>
          </cell>
          <cell r="F279">
            <v>903</v>
          </cell>
          <cell r="G279">
            <v>903</v>
          </cell>
          <cell r="H279">
            <v>903</v>
          </cell>
          <cell r="I279">
            <v>903</v>
          </cell>
          <cell r="J279">
            <v>903</v>
          </cell>
          <cell r="K279">
            <v>903</v>
          </cell>
          <cell r="L279">
            <v>903</v>
          </cell>
          <cell r="M279">
            <v>903</v>
          </cell>
          <cell r="N279">
            <v>903</v>
          </cell>
          <cell r="P279">
            <v>903</v>
          </cell>
          <cell r="Q279">
            <v>903</v>
          </cell>
          <cell r="R279">
            <v>903</v>
          </cell>
          <cell r="S279">
            <v>903</v>
          </cell>
          <cell r="U279">
            <v>857.84999999999991</v>
          </cell>
          <cell r="V279">
            <v>814.95749999999987</v>
          </cell>
          <cell r="W279">
            <v>774.20962499999985</v>
          </cell>
        </row>
        <row r="280">
          <cell r="A280" t="str">
            <v>98#2</v>
          </cell>
          <cell r="C280">
            <v>903</v>
          </cell>
          <cell r="D280">
            <v>903</v>
          </cell>
          <cell r="E280">
            <v>903</v>
          </cell>
          <cell r="F280">
            <v>903</v>
          </cell>
          <cell r="G280">
            <v>903</v>
          </cell>
          <cell r="H280">
            <v>903</v>
          </cell>
          <cell r="I280">
            <v>903</v>
          </cell>
          <cell r="J280">
            <v>903</v>
          </cell>
          <cell r="K280">
            <v>903</v>
          </cell>
          <cell r="L280">
            <v>903</v>
          </cell>
          <cell r="M280">
            <v>903</v>
          </cell>
          <cell r="N280">
            <v>903</v>
          </cell>
          <cell r="P280">
            <v>903</v>
          </cell>
          <cell r="Q280">
            <v>903</v>
          </cell>
          <cell r="R280">
            <v>903</v>
          </cell>
          <cell r="S280">
            <v>903</v>
          </cell>
          <cell r="U280">
            <v>857.84999999999991</v>
          </cell>
          <cell r="V280">
            <v>814.95749999999987</v>
          </cell>
          <cell r="W280">
            <v>774.20962499999985</v>
          </cell>
        </row>
        <row r="281">
          <cell r="A281" t="str">
            <v>Mos</v>
          </cell>
        </row>
        <row r="282">
          <cell r="A282" t="str">
            <v>Con</v>
          </cell>
          <cell r="C282">
            <v>1700</v>
          </cell>
          <cell r="D282">
            <v>1700</v>
          </cell>
          <cell r="E282">
            <v>1700</v>
          </cell>
          <cell r="F282">
            <v>1700</v>
          </cell>
          <cell r="G282">
            <v>1700</v>
          </cell>
          <cell r="H282">
            <v>1500</v>
          </cell>
          <cell r="I282">
            <v>1500</v>
          </cell>
          <cell r="J282">
            <v>1500</v>
          </cell>
          <cell r="K282">
            <v>1500</v>
          </cell>
          <cell r="L282">
            <v>1500</v>
          </cell>
          <cell r="M282">
            <v>1400</v>
          </cell>
          <cell r="N282">
            <v>1400</v>
          </cell>
          <cell r="P282">
            <v>1400</v>
          </cell>
          <cell r="Q282">
            <v>1400</v>
          </cell>
          <cell r="R282">
            <v>1400</v>
          </cell>
          <cell r="S282">
            <v>1400</v>
          </cell>
          <cell r="U282">
            <v>1400</v>
          </cell>
          <cell r="V282">
            <v>1400</v>
          </cell>
          <cell r="W282">
            <v>1400</v>
          </cell>
        </row>
        <row r="284">
          <cell r="A284" t="str">
            <v>MC Number of intercity minutes per line</v>
          </cell>
        </row>
        <row r="285">
          <cell r="B285">
            <v>35765</v>
          </cell>
          <cell r="C285">
            <v>35796</v>
          </cell>
          <cell r="D285">
            <v>35827</v>
          </cell>
          <cell r="E285">
            <v>35855</v>
          </cell>
          <cell r="F285">
            <v>35886</v>
          </cell>
          <cell r="G285">
            <v>35916</v>
          </cell>
          <cell r="H285">
            <v>35947</v>
          </cell>
          <cell r="I285">
            <v>35977</v>
          </cell>
          <cell r="J285">
            <v>36008</v>
          </cell>
          <cell r="K285">
            <v>36039</v>
          </cell>
          <cell r="L285">
            <v>36069</v>
          </cell>
          <cell r="M285">
            <v>36100</v>
          </cell>
          <cell r="N285">
            <v>36130</v>
          </cell>
          <cell r="O285" t="str">
            <v>Total 98</v>
          </cell>
          <cell r="P285" t="str">
            <v>Q1-99</v>
          </cell>
          <cell r="Q285" t="str">
            <v>Q2-99</v>
          </cell>
          <cell r="R285" t="str">
            <v>Q3-99</v>
          </cell>
          <cell r="S285" t="str">
            <v>Q4-99</v>
          </cell>
          <cell r="T285" t="str">
            <v>Total 99</v>
          </cell>
          <cell r="U285">
            <v>2000</v>
          </cell>
          <cell r="V285">
            <v>2001</v>
          </cell>
          <cell r="W285">
            <v>2002</v>
          </cell>
        </row>
        <row r="286">
          <cell r="A286" t="str">
            <v>Ark</v>
          </cell>
          <cell r="C286">
            <v>50</v>
          </cell>
          <cell r="D286">
            <v>50</v>
          </cell>
          <cell r="E286">
            <v>50</v>
          </cell>
          <cell r="F286">
            <v>50</v>
          </cell>
          <cell r="G286">
            <v>50</v>
          </cell>
          <cell r="H286">
            <v>50</v>
          </cell>
          <cell r="I286">
            <v>50</v>
          </cell>
          <cell r="J286">
            <v>50</v>
          </cell>
          <cell r="K286">
            <v>20</v>
          </cell>
          <cell r="L286">
            <v>20</v>
          </cell>
          <cell r="M286">
            <v>20</v>
          </cell>
          <cell r="N286">
            <v>20</v>
          </cell>
          <cell r="P286">
            <v>20</v>
          </cell>
          <cell r="Q286">
            <v>20</v>
          </cell>
          <cell r="R286">
            <v>20</v>
          </cell>
          <cell r="S286">
            <v>20</v>
          </cell>
          <cell r="U286">
            <v>20</v>
          </cell>
          <cell r="V286">
            <v>20</v>
          </cell>
          <cell r="W286">
            <v>20</v>
          </cell>
        </row>
        <row r="287">
          <cell r="A287" t="str">
            <v>Eka</v>
          </cell>
          <cell r="C287">
            <v>20</v>
          </cell>
          <cell r="D287">
            <v>20</v>
          </cell>
          <cell r="E287">
            <v>20</v>
          </cell>
          <cell r="F287">
            <v>20</v>
          </cell>
          <cell r="G287">
            <v>20</v>
          </cell>
          <cell r="H287">
            <v>20</v>
          </cell>
          <cell r="I287">
            <v>20</v>
          </cell>
          <cell r="J287">
            <v>20</v>
          </cell>
          <cell r="K287">
            <v>20</v>
          </cell>
          <cell r="L287">
            <v>20</v>
          </cell>
          <cell r="M287">
            <v>20</v>
          </cell>
          <cell r="N287">
            <v>20</v>
          </cell>
          <cell r="P287">
            <v>20</v>
          </cell>
          <cell r="Q287">
            <v>20</v>
          </cell>
          <cell r="R287">
            <v>20</v>
          </cell>
          <cell r="S287">
            <v>20</v>
          </cell>
          <cell r="U287">
            <v>20</v>
          </cell>
          <cell r="V287">
            <v>20</v>
          </cell>
          <cell r="W287">
            <v>20</v>
          </cell>
        </row>
        <row r="288">
          <cell r="A288" t="str">
            <v>Irk</v>
          </cell>
          <cell r="C288">
            <v>50</v>
          </cell>
          <cell r="D288">
            <v>50</v>
          </cell>
          <cell r="E288">
            <v>50</v>
          </cell>
          <cell r="F288">
            <v>50</v>
          </cell>
          <cell r="G288">
            <v>50</v>
          </cell>
          <cell r="H288">
            <v>50</v>
          </cell>
          <cell r="I288">
            <v>50</v>
          </cell>
          <cell r="J288">
            <v>50</v>
          </cell>
          <cell r="K288">
            <v>50</v>
          </cell>
          <cell r="L288">
            <v>50</v>
          </cell>
          <cell r="M288">
            <v>20</v>
          </cell>
          <cell r="N288">
            <v>20</v>
          </cell>
          <cell r="P288">
            <v>20</v>
          </cell>
          <cell r="Q288">
            <v>20</v>
          </cell>
          <cell r="R288">
            <v>20</v>
          </cell>
          <cell r="S288">
            <v>20</v>
          </cell>
          <cell r="U288">
            <v>20</v>
          </cell>
          <cell r="V288">
            <v>20</v>
          </cell>
          <cell r="W288">
            <v>20</v>
          </cell>
        </row>
        <row r="289">
          <cell r="A289" t="str">
            <v>Kha</v>
          </cell>
          <cell r="C289">
            <v>60</v>
          </cell>
          <cell r="D289">
            <v>60</v>
          </cell>
          <cell r="E289">
            <v>60</v>
          </cell>
          <cell r="F289">
            <v>60</v>
          </cell>
          <cell r="G289">
            <v>60</v>
          </cell>
          <cell r="H289">
            <v>60</v>
          </cell>
          <cell r="I289">
            <v>60</v>
          </cell>
          <cell r="J289">
            <v>60</v>
          </cell>
          <cell r="K289">
            <v>60</v>
          </cell>
          <cell r="L289">
            <v>20</v>
          </cell>
          <cell r="M289">
            <v>20</v>
          </cell>
          <cell r="N289">
            <v>20</v>
          </cell>
          <cell r="P289">
            <v>20</v>
          </cell>
          <cell r="Q289">
            <v>20</v>
          </cell>
          <cell r="R289">
            <v>20</v>
          </cell>
          <cell r="S289">
            <v>20</v>
          </cell>
          <cell r="U289">
            <v>20</v>
          </cell>
          <cell r="V289">
            <v>20</v>
          </cell>
          <cell r="W289">
            <v>20</v>
          </cell>
        </row>
        <row r="290">
          <cell r="A290" t="str">
            <v>Kra</v>
          </cell>
          <cell r="C290">
            <v>100</v>
          </cell>
          <cell r="D290">
            <v>100</v>
          </cell>
          <cell r="E290">
            <v>100</v>
          </cell>
          <cell r="F290">
            <v>100</v>
          </cell>
          <cell r="G290">
            <v>100</v>
          </cell>
          <cell r="H290">
            <v>100</v>
          </cell>
          <cell r="I290">
            <v>100</v>
          </cell>
          <cell r="J290">
            <v>100</v>
          </cell>
          <cell r="K290">
            <v>100</v>
          </cell>
          <cell r="L290">
            <v>100</v>
          </cell>
          <cell r="M290">
            <v>100</v>
          </cell>
          <cell r="N290">
            <v>100</v>
          </cell>
          <cell r="P290">
            <v>100</v>
          </cell>
          <cell r="Q290">
            <v>100</v>
          </cell>
          <cell r="R290">
            <v>100</v>
          </cell>
          <cell r="S290">
            <v>100</v>
          </cell>
          <cell r="U290">
            <v>100</v>
          </cell>
          <cell r="V290">
            <v>100</v>
          </cell>
          <cell r="W290">
            <v>100</v>
          </cell>
        </row>
        <row r="291">
          <cell r="A291" t="str">
            <v>Niz</v>
          </cell>
          <cell r="C291">
            <v>100</v>
          </cell>
          <cell r="D291">
            <v>100</v>
          </cell>
          <cell r="E291">
            <v>100</v>
          </cell>
          <cell r="F291">
            <v>100</v>
          </cell>
          <cell r="G291">
            <v>100</v>
          </cell>
          <cell r="H291">
            <v>100</v>
          </cell>
          <cell r="I291">
            <v>100</v>
          </cell>
          <cell r="J291">
            <v>100</v>
          </cell>
          <cell r="K291">
            <v>100</v>
          </cell>
          <cell r="L291">
            <v>100</v>
          </cell>
          <cell r="M291">
            <v>100</v>
          </cell>
          <cell r="N291">
            <v>100</v>
          </cell>
          <cell r="P291">
            <v>100</v>
          </cell>
          <cell r="Q291">
            <v>100</v>
          </cell>
          <cell r="R291">
            <v>100</v>
          </cell>
          <cell r="S291">
            <v>100</v>
          </cell>
          <cell r="U291">
            <v>100</v>
          </cell>
          <cell r="V291">
            <v>100</v>
          </cell>
          <cell r="W291">
            <v>100</v>
          </cell>
        </row>
        <row r="292">
          <cell r="A292" t="str">
            <v>Nov</v>
          </cell>
          <cell r="C292">
            <v>10</v>
          </cell>
          <cell r="D292">
            <v>10</v>
          </cell>
          <cell r="E292">
            <v>10</v>
          </cell>
          <cell r="F292">
            <v>10</v>
          </cell>
          <cell r="G292">
            <v>10</v>
          </cell>
          <cell r="H292">
            <v>10</v>
          </cell>
          <cell r="I292">
            <v>10</v>
          </cell>
          <cell r="J292">
            <v>10</v>
          </cell>
          <cell r="K292">
            <v>10</v>
          </cell>
          <cell r="L292">
            <v>10</v>
          </cell>
          <cell r="M292">
            <v>10</v>
          </cell>
          <cell r="N292">
            <v>10</v>
          </cell>
          <cell r="P292">
            <v>10</v>
          </cell>
          <cell r="Q292">
            <v>10</v>
          </cell>
          <cell r="R292">
            <v>10</v>
          </cell>
          <cell r="S292">
            <v>10</v>
          </cell>
          <cell r="U292">
            <v>10</v>
          </cell>
          <cell r="V292">
            <v>10</v>
          </cell>
          <cell r="W292">
            <v>10</v>
          </cell>
        </row>
        <row r="293">
          <cell r="A293" t="str">
            <v>Syk</v>
          </cell>
          <cell r="C293">
            <v>120</v>
          </cell>
          <cell r="D293">
            <v>120</v>
          </cell>
          <cell r="E293">
            <v>120</v>
          </cell>
          <cell r="F293">
            <v>120</v>
          </cell>
          <cell r="G293">
            <v>120</v>
          </cell>
          <cell r="H293">
            <v>120</v>
          </cell>
          <cell r="I293">
            <v>120</v>
          </cell>
          <cell r="J293">
            <v>120</v>
          </cell>
          <cell r="K293">
            <v>120</v>
          </cell>
          <cell r="L293">
            <v>120</v>
          </cell>
          <cell r="M293">
            <v>120</v>
          </cell>
          <cell r="N293">
            <v>120</v>
          </cell>
          <cell r="P293">
            <v>120</v>
          </cell>
          <cell r="Q293">
            <v>120</v>
          </cell>
          <cell r="R293">
            <v>120</v>
          </cell>
          <cell r="S293">
            <v>120</v>
          </cell>
          <cell r="U293">
            <v>120</v>
          </cell>
          <cell r="V293">
            <v>120</v>
          </cell>
          <cell r="W293">
            <v>120</v>
          </cell>
        </row>
        <row r="294">
          <cell r="A294" t="str">
            <v>Tyu</v>
          </cell>
          <cell r="C294">
            <v>250</v>
          </cell>
          <cell r="D294">
            <v>250</v>
          </cell>
          <cell r="E294">
            <v>250</v>
          </cell>
          <cell r="F294">
            <v>250</v>
          </cell>
          <cell r="G294">
            <v>250</v>
          </cell>
          <cell r="H294">
            <v>250</v>
          </cell>
          <cell r="I294">
            <v>250</v>
          </cell>
          <cell r="J294">
            <v>250</v>
          </cell>
          <cell r="K294">
            <v>250</v>
          </cell>
          <cell r="L294">
            <v>250</v>
          </cell>
          <cell r="M294">
            <v>250</v>
          </cell>
          <cell r="N294">
            <v>250</v>
          </cell>
          <cell r="P294">
            <v>250</v>
          </cell>
          <cell r="Q294">
            <v>250</v>
          </cell>
          <cell r="R294">
            <v>250</v>
          </cell>
          <cell r="S294">
            <v>250</v>
          </cell>
          <cell r="U294">
            <v>250</v>
          </cell>
          <cell r="V294">
            <v>250</v>
          </cell>
          <cell r="W294">
            <v>250</v>
          </cell>
        </row>
        <row r="295">
          <cell r="A295" t="str">
            <v>Ufa</v>
          </cell>
          <cell r="C295">
            <v>30</v>
          </cell>
          <cell r="D295">
            <v>30</v>
          </cell>
          <cell r="E295">
            <v>30</v>
          </cell>
          <cell r="F295">
            <v>30</v>
          </cell>
          <cell r="G295">
            <v>30</v>
          </cell>
          <cell r="H295">
            <v>30</v>
          </cell>
          <cell r="I295">
            <v>20</v>
          </cell>
          <cell r="J295">
            <v>20</v>
          </cell>
          <cell r="K295">
            <v>20</v>
          </cell>
          <cell r="L295">
            <v>20</v>
          </cell>
          <cell r="M295">
            <v>20</v>
          </cell>
          <cell r="N295">
            <v>20</v>
          </cell>
          <cell r="P295">
            <v>20</v>
          </cell>
          <cell r="Q295">
            <v>20</v>
          </cell>
          <cell r="R295">
            <v>20</v>
          </cell>
          <cell r="S295">
            <v>20</v>
          </cell>
          <cell r="U295">
            <v>20</v>
          </cell>
          <cell r="V295">
            <v>20</v>
          </cell>
          <cell r="W295">
            <v>20</v>
          </cell>
        </row>
        <row r="296">
          <cell r="A296" t="str">
            <v>Vla</v>
          </cell>
          <cell r="C296">
            <v>35</v>
          </cell>
          <cell r="D296">
            <v>35</v>
          </cell>
          <cell r="E296">
            <v>35</v>
          </cell>
          <cell r="F296">
            <v>35</v>
          </cell>
          <cell r="G296">
            <v>35</v>
          </cell>
          <cell r="H296">
            <v>35</v>
          </cell>
          <cell r="I296">
            <v>35</v>
          </cell>
          <cell r="J296">
            <v>35</v>
          </cell>
          <cell r="K296">
            <v>35</v>
          </cell>
          <cell r="L296">
            <v>35</v>
          </cell>
          <cell r="M296">
            <v>35</v>
          </cell>
          <cell r="N296">
            <v>35</v>
          </cell>
          <cell r="P296">
            <v>35</v>
          </cell>
          <cell r="Q296">
            <v>35</v>
          </cell>
          <cell r="R296">
            <v>35</v>
          </cell>
          <cell r="S296">
            <v>35</v>
          </cell>
          <cell r="U296">
            <v>35</v>
          </cell>
          <cell r="V296">
            <v>35</v>
          </cell>
          <cell r="W296">
            <v>35</v>
          </cell>
        </row>
        <row r="297">
          <cell r="A297" t="str">
            <v>Vol</v>
          </cell>
          <cell r="C297">
            <v>20</v>
          </cell>
          <cell r="D297">
            <v>20</v>
          </cell>
          <cell r="E297">
            <v>20</v>
          </cell>
          <cell r="F297">
            <v>20</v>
          </cell>
          <cell r="G297">
            <v>20</v>
          </cell>
          <cell r="H297">
            <v>20</v>
          </cell>
          <cell r="I297">
            <v>20</v>
          </cell>
          <cell r="J297">
            <v>20</v>
          </cell>
          <cell r="K297">
            <v>20</v>
          </cell>
          <cell r="L297">
            <v>20</v>
          </cell>
          <cell r="M297">
            <v>20</v>
          </cell>
          <cell r="N297">
            <v>20</v>
          </cell>
          <cell r="P297">
            <v>20</v>
          </cell>
          <cell r="Q297">
            <v>20</v>
          </cell>
          <cell r="R297">
            <v>20</v>
          </cell>
          <cell r="S297">
            <v>20</v>
          </cell>
          <cell r="U297">
            <v>20</v>
          </cell>
          <cell r="V297">
            <v>20</v>
          </cell>
          <cell r="W297">
            <v>20</v>
          </cell>
        </row>
        <row r="298">
          <cell r="A298" t="str">
            <v>Vor</v>
          </cell>
          <cell r="C298">
            <v>20</v>
          </cell>
          <cell r="D298">
            <v>20</v>
          </cell>
          <cell r="E298">
            <v>20</v>
          </cell>
          <cell r="F298">
            <v>20</v>
          </cell>
          <cell r="G298">
            <v>20</v>
          </cell>
          <cell r="H298">
            <v>20</v>
          </cell>
          <cell r="I298">
            <v>20</v>
          </cell>
          <cell r="J298">
            <v>20</v>
          </cell>
          <cell r="K298">
            <v>20</v>
          </cell>
          <cell r="L298">
            <v>20</v>
          </cell>
          <cell r="M298">
            <v>20</v>
          </cell>
          <cell r="N298">
            <v>20</v>
          </cell>
          <cell r="P298">
            <v>20</v>
          </cell>
          <cell r="Q298">
            <v>20</v>
          </cell>
          <cell r="R298">
            <v>20</v>
          </cell>
          <cell r="S298">
            <v>20</v>
          </cell>
          <cell r="U298">
            <v>20</v>
          </cell>
          <cell r="V298">
            <v>20</v>
          </cell>
          <cell r="W298">
            <v>20</v>
          </cell>
        </row>
        <row r="299">
          <cell r="A299" t="str">
            <v>97#1</v>
          </cell>
          <cell r="C299">
            <v>20</v>
          </cell>
          <cell r="D299">
            <v>20</v>
          </cell>
          <cell r="E299">
            <v>20</v>
          </cell>
          <cell r="F299">
            <v>20</v>
          </cell>
          <cell r="G299">
            <v>20</v>
          </cell>
          <cell r="H299">
            <v>20</v>
          </cell>
          <cell r="I299">
            <v>20</v>
          </cell>
          <cell r="J299">
            <v>20</v>
          </cell>
          <cell r="K299">
            <v>20</v>
          </cell>
          <cell r="L299">
            <v>20</v>
          </cell>
          <cell r="M299">
            <v>20</v>
          </cell>
          <cell r="N299">
            <v>20</v>
          </cell>
          <cell r="P299">
            <v>20</v>
          </cell>
          <cell r="Q299">
            <v>20</v>
          </cell>
          <cell r="R299">
            <v>20</v>
          </cell>
          <cell r="S299">
            <v>20</v>
          </cell>
          <cell r="U299">
            <v>20</v>
          </cell>
          <cell r="V299">
            <v>20</v>
          </cell>
          <cell r="W299">
            <v>20</v>
          </cell>
        </row>
        <row r="300">
          <cell r="A300" t="str">
            <v>97#2</v>
          </cell>
          <cell r="C300">
            <v>20</v>
          </cell>
          <cell r="D300">
            <v>20</v>
          </cell>
          <cell r="E300">
            <v>20</v>
          </cell>
          <cell r="F300">
            <v>20</v>
          </cell>
          <cell r="G300">
            <v>20</v>
          </cell>
          <cell r="H300">
            <v>20</v>
          </cell>
          <cell r="I300">
            <v>20</v>
          </cell>
          <cell r="J300">
            <v>20</v>
          </cell>
          <cell r="K300">
            <v>20</v>
          </cell>
          <cell r="L300">
            <v>20</v>
          </cell>
          <cell r="M300">
            <v>20</v>
          </cell>
          <cell r="N300">
            <v>20</v>
          </cell>
          <cell r="P300">
            <v>20</v>
          </cell>
          <cell r="Q300">
            <v>20</v>
          </cell>
          <cell r="R300">
            <v>20</v>
          </cell>
          <cell r="S300">
            <v>20</v>
          </cell>
          <cell r="U300">
            <v>20</v>
          </cell>
          <cell r="V300">
            <v>20</v>
          </cell>
          <cell r="W300">
            <v>20</v>
          </cell>
        </row>
        <row r="301">
          <cell r="A301" t="str">
            <v>98#1</v>
          </cell>
          <cell r="C301">
            <v>20</v>
          </cell>
          <cell r="D301">
            <v>20</v>
          </cell>
          <cell r="E301">
            <v>20</v>
          </cell>
          <cell r="F301">
            <v>20</v>
          </cell>
          <cell r="G301">
            <v>20</v>
          </cell>
          <cell r="H301">
            <v>20</v>
          </cell>
          <cell r="I301">
            <v>20</v>
          </cell>
          <cell r="J301">
            <v>20</v>
          </cell>
          <cell r="K301">
            <v>20</v>
          </cell>
          <cell r="L301">
            <v>20</v>
          </cell>
          <cell r="M301">
            <v>20</v>
          </cell>
          <cell r="N301">
            <v>20</v>
          </cell>
          <cell r="P301">
            <v>20</v>
          </cell>
          <cell r="Q301">
            <v>20</v>
          </cell>
          <cell r="R301">
            <v>20</v>
          </cell>
          <cell r="S301">
            <v>20</v>
          </cell>
          <cell r="U301">
            <v>20</v>
          </cell>
          <cell r="V301">
            <v>20</v>
          </cell>
          <cell r="W301">
            <v>20</v>
          </cell>
        </row>
        <row r="302">
          <cell r="A302" t="str">
            <v>98#2</v>
          </cell>
          <cell r="C302">
            <v>20</v>
          </cell>
          <cell r="D302">
            <v>20</v>
          </cell>
          <cell r="E302">
            <v>20</v>
          </cell>
          <cell r="F302">
            <v>20</v>
          </cell>
          <cell r="G302">
            <v>20</v>
          </cell>
          <cell r="H302">
            <v>20</v>
          </cell>
          <cell r="I302">
            <v>20</v>
          </cell>
          <cell r="J302">
            <v>20</v>
          </cell>
          <cell r="K302">
            <v>20</v>
          </cell>
          <cell r="L302">
            <v>20</v>
          </cell>
          <cell r="M302">
            <v>20</v>
          </cell>
          <cell r="N302">
            <v>20</v>
          </cell>
          <cell r="P302">
            <v>20</v>
          </cell>
          <cell r="Q302">
            <v>20</v>
          </cell>
          <cell r="R302">
            <v>20</v>
          </cell>
          <cell r="S302">
            <v>20</v>
          </cell>
          <cell r="U302">
            <v>20</v>
          </cell>
          <cell r="V302">
            <v>20</v>
          </cell>
          <cell r="W302">
            <v>20</v>
          </cell>
        </row>
        <row r="303">
          <cell r="A303" t="str">
            <v>Mos</v>
          </cell>
        </row>
        <row r="304">
          <cell r="A304" t="str">
            <v>Con</v>
          </cell>
        </row>
        <row r="306">
          <cell r="A306" t="str">
            <v xml:space="preserve">MC Average intercity tariff </v>
          </cell>
        </row>
        <row r="307">
          <cell r="B307">
            <v>35765</v>
          </cell>
          <cell r="C307">
            <v>35796</v>
          </cell>
          <cell r="D307">
            <v>35827</v>
          </cell>
          <cell r="E307">
            <v>35855</v>
          </cell>
          <cell r="F307">
            <v>35886</v>
          </cell>
          <cell r="G307">
            <v>35916</v>
          </cell>
          <cell r="H307">
            <v>35947</v>
          </cell>
          <cell r="I307">
            <v>35977</v>
          </cell>
          <cell r="J307">
            <v>36008</v>
          </cell>
          <cell r="K307">
            <v>36039</v>
          </cell>
          <cell r="L307">
            <v>36069</v>
          </cell>
          <cell r="M307">
            <v>36100</v>
          </cell>
          <cell r="N307">
            <v>36130</v>
          </cell>
          <cell r="O307" t="str">
            <v>Total 98</v>
          </cell>
          <cell r="P307" t="str">
            <v>Q1-99</v>
          </cell>
          <cell r="Q307" t="str">
            <v>Q2-99</v>
          </cell>
          <cell r="R307" t="str">
            <v>Q3-99</v>
          </cell>
          <cell r="S307" t="str">
            <v>Q4-99</v>
          </cell>
          <cell r="T307" t="str">
            <v>Total 99</v>
          </cell>
          <cell r="U307">
            <v>2000</v>
          </cell>
          <cell r="V307">
            <v>2001</v>
          </cell>
          <cell r="W307">
            <v>2002</v>
          </cell>
        </row>
        <row r="308">
          <cell r="A308" t="str">
            <v>Ark</v>
          </cell>
          <cell r="C308">
            <v>2.4405000000000017E-2</v>
          </cell>
          <cell r="D308">
            <v>2.4405000000000017E-2</v>
          </cell>
          <cell r="E308">
            <v>2.4405000000000017E-2</v>
          </cell>
          <cell r="F308">
            <v>2.4405000000000017E-2</v>
          </cell>
          <cell r="G308">
            <v>2.4405000000000017E-2</v>
          </cell>
          <cell r="H308">
            <v>2.4405000000000017E-2</v>
          </cell>
          <cell r="I308">
            <v>2.4405000000000017E-2</v>
          </cell>
          <cell r="J308">
            <v>2.4405000000000017E-2</v>
          </cell>
          <cell r="K308">
            <v>2.4405000000000017E-2</v>
          </cell>
          <cell r="L308">
            <v>2.4405000000000017E-2</v>
          </cell>
          <cell r="M308">
            <v>2.4405000000000017E-2</v>
          </cell>
          <cell r="N308">
            <v>2.4405000000000017E-2</v>
          </cell>
          <cell r="P308">
            <v>2.3184750000000014E-2</v>
          </cell>
          <cell r="Q308">
            <v>2.3184750000000014E-2</v>
          </cell>
          <cell r="R308">
            <v>2.3184750000000014E-2</v>
          </cell>
          <cell r="S308">
            <v>2.3184750000000014E-2</v>
          </cell>
          <cell r="U308">
            <v>2.2025512500000014E-2</v>
          </cell>
          <cell r="V308">
            <v>2.0924236875000012E-2</v>
          </cell>
          <cell r="W308">
            <v>1.987802503125001E-2</v>
          </cell>
        </row>
        <row r="309">
          <cell r="A309" t="str">
            <v>Eka</v>
          </cell>
          <cell r="C309">
            <v>2.4405000000000017E-2</v>
          </cell>
          <cell r="D309">
            <v>2.4405000000000017E-2</v>
          </cell>
          <cell r="E309">
            <v>2.4405000000000017E-2</v>
          </cell>
          <cell r="F309">
            <v>2.4405000000000017E-2</v>
          </cell>
          <cell r="G309">
            <v>2.4405000000000017E-2</v>
          </cell>
          <cell r="H309">
            <v>2.4405000000000017E-2</v>
          </cell>
          <cell r="I309">
            <v>2.4405000000000017E-2</v>
          </cell>
          <cell r="J309">
            <v>2.4405000000000017E-2</v>
          </cell>
          <cell r="K309">
            <v>2.4405000000000017E-2</v>
          </cell>
          <cell r="L309">
            <v>2.4405000000000017E-2</v>
          </cell>
          <cell r="M309">
            <v>2.4405000000000017E-2</v>
          </cell>
          <cell r="N309">
            <v>2.4405000000000017E-2</v>
          </cell>
          <cell r="P309">
            <v>2.3184750000000014E-2</v>
          </cell>
          <cell r="Q309">
            <v>2.3184750000000014E-2</v>
          </cell>
          <cell r="R309">
            <v>2.3184750000000014E-2</v>
          </cell>
          <cell r="S309">
            <v>2.3184750000000014E-2</v>
          </cell>
          <cell r="U309">
            <v>2.2025512500000014E-2</v>
          </cell>
          <cell r="V309">
            <v>2.0924236875000012E-2</v>
          </cell>
          <cell r="W309">
            <v>1.987802503125001E-2</v>
          </cell>
        </row>
        <row r="310">
          <cell r="A310" t="str">
            <v>Irk</v>
          </cell>
          <cell r="C310">
            <v>2.4405000000000017E-2</v>
          </cell>
          <cell r="D310">
            <v>2.4405000000000017E-2</v>
          </cell>
          <cell r="E310">
            <v>2.4405000000000017E-2</v>
          </cell>
          <cell r="F310">
            <v>2.4405000000000017E-2</v>
          </cell>
          <cell r="G310">
            <v>2.4405000000000017E-2</v>
          </cell>
          <cell r="H310">
            <v>2.4405000000000017E-2</v>
          </cell>
          <cell r="I310">
            <v>2.4405000000000017E-2</v>
          </cell>
          <cell r="J310">
            <v>2.4405000000000017E-2</v>
          </cell>
          <cell r="K310">
            <v>2.4405000000000017E-2</v>
          </cell>
          <cell r="L310">
            <v>2.4405000000000017E-2</v>
          </cell>
          <cell r="M310">
            <v>2.4405000000000017E-2</v>
          </cell>
          <cell r="N310">
            <v>2.4405000000000017E-2</v>
          </cell>
          <cell r="P310">
            <v>2.3184750000000014E-2</v>
          </cell>
          <cell r="Q310">
            <v>2.3184750000000014E-2</v>
          </cell>
          <cell r="R310">
            <v>2.3184750000000014E-2</v>
          </cell>
          <cell r="S310">
            <v>2.3184750000000014E-2</v>
          </cell>
          <cell r="U310">
            <v>2.2025512500000014E-2</v>
          </cell>
          <cell r="V310">
            <v>2.0924236875000012E-2</v>
          </cell>
          <cell r="W310">
            <v>1.987802503125001E-2</v>
          </cell>
        </row>
        <row r="311">
          <cell r="A311" t="str">
            <v>Kha</v>
          </cell>
          <cell r="C311">
            <v>2.4405000000000017E-2</v>
          </cell>
          <cell r="D311">
            <v>2.4405000000000017E-2</v>
          </cell>
          <cell r="E311">
            <v>2.4405000000000017E-2</v>
          </cell>
          <cell r="F311">
            <v>2.4405000000000017E-2</v>
          </cell>
          <cell r="G311">
            <v>2.4405000000000017E-2</v>
          </cell>
          <cell r="H311">
            <v>2.4405000000000017E-2</v>
          </cell>
          <cell r="I311">
            <v>2.4405000000000017E-2</v>
          </cell>
          <cell r="J311">
            <v>2.4405000000000017E-2</v>
          </cell>
          <cell r="K311">
            <v>2.4405000000000017E-2</v>
          </cell>
          <cell r="L311">
            <v>2.4405000000000017E-2</v>
          </cell>
          <cell r="M311">
            <v>2.4405000000000017E-2</v>
          </cell>
          <cell r="N311">
            <v>2.4405000000000017E-2</v>
          </cell>
          <cell r="P311">
            <v>2.3184750000000014E-2</v>
          </cell>
          <cell r="Q311">
            <v>2.3184750000000014E-2</v>
          </cell>
          <cell r="R311">
            <v>2.3184750000000014E-2</v>
          </cell>
          <cell r="S311">
            <v>2.3184750000000014E-2</v>
          </cell>
          <cell r="U311">
            <v>2.2025512500000014E-2</v>
          </cell>
          <cell r="V311">
            <v>2.0924236875000012E-2</v>
          </cell>
          <cell r="W311">
            <v>1.987802503125001E-2</v>
          </cell>
        </row>
        <row r="312">
          <cell r="A312" t="str">
            <v>Kra</v>
          </cell>
          <cell r="C312">
            <v>2.4405000000000017E-2</v>
          </cell>
          <cell r="D312">
            <v>2.4405000000000017E-2</v>
          </cell>
          <cell r="E312">
            <v>2.4405000000000017E-2</v>
          </cell>
          <cell r="F312">
            <v>2.4405000000000017E-2</v>
          </cell>
          <cell r="G312">
            <v>2.4405000000000017E-2</v>
          </cell>
          <cell r="H312">
            <v>2.4405000000000017E-2</v>
          </cell>
          <cell r="I312">
            <v>2.4405000000000017E-2</v>
          </cell>
          <cell r="J312">
            <v>2.4405000000000017E-2</v>
          </cell>
          <cell r="K312">
            <v>2.4405000000000017E-2</v>
          </cell>
          <cell r="L312">
            <v>2.4405000000000017E-2</v>
          </cell>
          <cell r="M312">
            <v>2.4405000000000017E-2</v>
          </cell>
          <cell r="N312">
            <v>2.4405000000000017E-2</v>
          </cell>
          <cell r="P312">
            <v>2.3184750000000014E-2</v>
          </cell>
          <cell r="Q312">
            <v>2.3184750000000014E-2</v>
          </cell>
          <cell r="R312">
            <v>2.3184750000000014E-2</v>
          </cell>
          <cell r="S312">
            <v>2.3184750000000014E-2</v>
          </cell>
          <cell r="U312">
            <v>2.2025512500000014E-2</v>
          </cell>
          <cell r="V312">
            <v>2.0924236875000012E-2</v>
          </cell>
          <cell r="W312">
            <v>1.987802503125001E-2</v>
          </cell>
        </row>
        <row r="313">
          <cell r="A313" t="str">
            <v>Niz</v>
          </cell>
          <cell r="C313">
            <v>2.4405000000000017E-2</v>
          </cell>
          <cell r="D313">
            <v>2.4405000000000017E-2</v>
          </cell>
          <cell r="E313">
            <v>2.4405000000000017E-2</v>
          </cell>
          <cell r="F313">
            <v>2.4405000000000017E-2</v>
          </cell>
          <cell r="G313">
            <v>2.4405000000000017E-2</v>
          </cell>
          <cell r="H313">
            <v>2.4405000000000017E-2</v>
          </cell>
          <cell r="I313">
            <v>2.4405000000000017E-2</v>
          </cell>
          <cell r="J313">
            <v>2.4405000000000017E-2</v>
          </cell>
          <cell r="K313">
            <v>2.4405000000000017E-2</v>
          </cell>
          <cell r="L313">
            <v>2.4405000000000017E-2</v>
          </cell>
          <cell r="M313">
            <v>2.4405000000000017E-2</v>
          </cell>
          <cell r="N313">
            <v>2.4405000000000017E-2</v>
          </cell>
          <cell r="P313">
            <v>2.3184750000000014E-2</v>
          </cell>
          <cell r="Q313">
            <v>2.3184750000000014E-2</v>
          </cell>
          <cell r="R313">
            <v>2.3184750000000014E-2</v>
          </cell>
          <cell r="S313">
            <v>2.3184750000000014E-2</v>
          </cell>
          <cell r="U313">
            <v>2.2025512500000014E-2</v>
          </cell>
          <cell r="V313">
            <v>2.0924236875000012E-2</v>
          </cell>
          <cell r="W313">
            <v>1.987802503125001E-2</v>
          </cell>
        </row>
        <row r="314">
          <cell r="A314" t="str">
            <v>Nov</v>
          </cell>
          <cell r="C314">
            <v>2.4405000000000017E-2</v>
          </cell>
          <cell r="D314">
            <v>2.4405000000000017E-2</v>
          </cell>
          <cell r="E314">
            <v>2.4405000000000017E-2</v>
          </cell>
          <cell r="F314">
            <v>2.4405000000000017E-2</v>
          </cell>
          <cell r="G314">
            <v>2.4405000000000017E-2</v>
          </cell>
          <cell r="H314">
            <v>2.4405000000000017E-2</v>
          </cell>
          <cell r="I314">
            <v>2.4405000000000017E-2</v>
          </cell>
          <cell r="J314">
            <v>2.4405000000000017E-2</v>
          </cell>
          <cell r="K314">
            <v>2.4405000000000017E-2</v>
          </cell>
          <cell r="L314">
            <v>2.4405000000000017E-2</v>
          </cell>
          <cell r="M314">
            <v>2.4405000000000017E-2</v>
          </cell>
          <cell r="N314">
            <v>2.4405000000000017E-2</v>
          </cell>
          <cell r="P314">
            <v>2.3184750000000014E-2</v>
          </cell>
          <cell r="Q314">
            <v>2.3184750000000014E-2</v>
          </cell>
          <cell r="R314">
            <v>2.3184750000000014E-2</v>
          </cell>
          <cell r="S314">
            <v>2.3184750000000014E-2</v>
          </cell>
          <cell r="U314">
            <v>2.2025512500000014E-2</v>
          </cell>
          <cell r="V314">
            <v>2.0924236875000012E-2</v>
          </cell>
          <cell r="W314">
            <v>1.987802503125001E-2</v>
          </cell>
        </row>
        <row r="315">
          <cell r="A315" t="str">
            <v>Syk</v>
          </cell>
          <cell r="C315">
            <v>2.4405000000000017E-2</v>
          </cell>
          <cell r="D315">
            <v>2.4405000000000017E-2</v>
          </cell>
          <cell r="E315">
            <v>2.4405000000000017E-2</v>
          </cell>
          <cell r="F315">
            <v>2.4405000000000017E-2</v>
          </cell>
          <cell r="G315">
            <v>2.4405000000000017E-2</v>
          </cell>
          <cell r="H315">
            <v>2.4405000000000017E-2</v>
          </cell>
          <cell r="I315">
            <v>2.4405000000000017E-2</v>
          </cell>
          <cell r="J315">
            <v>2.4405000000000017E-2</v>
          </cell>
          <cell r="K315">
            <v>2.4405000000000017E-2</v>
          </cell>
          <cell r="L315">
            <v>2.4405000000000017E-2</v>
          </cell>
          <cell r="M315">
            <v>2.4405000000000017E-2</v>
          </cell>
          <cell r="N315">
            <v>2.4405000000000017E-2</v>
          </cell>
          <cell r="P315">
            <v>2.3184750000000014E-2</v>
          </cell>
          <cell r="Q315">
            <v>2.3184750000000014E-2</v>
          </cell>
          <cell r="R315">
            <v>2.3184750000000014E-2</v>
          </cell>
          <cell r="S315">
            <v>2.3184750000000014E-2</v>
          </cell>
          <cell r="U315">
            <v>2.2025512500000014E-2</v>
          </cell>
          <cell r="V315">
            <v>2.0924236875000012E-2</v>
          </cell>
          <cell r="W315">
            <v>1.987802503125001E-2</v>
          </cell>
        </row>
        <row r="316">
          <cell r="A316" t="str">
            <v>Tyu</v>
          </cell>
          <cell r="C316">
            <v>2.4405000000000017E-2</v>
          </cell>
          <cell r="D316">
            <v>2.4405000000000017E-2</v>
          </cell>
          <cell r="E316">
            <v>2.4405000000000017E-2</v>
          </cell>
          <cell r="F316">
            <v>2.4405000000000017E-2</v>
          </cell>
          <cell r="G316">
            <v>2.4405000000000017E-2</v>
          </cell>
          <cell r="H316">
            <v>2.4405000000000017E-2</v>
          </cell>
          <cell r="I316">
            <v>2.4405000000000017E-2</v>
          </cell>
          <cell r="J316">
            <v>2.4405000000000017E-2</v>
          </cell>
          <cell r="K316">
            <v>2.4405000000000017E-2</v>
          </cell>
          <cell r="L316">
            <v>2.4405000000000017E-2</v>
          </cell>
          <cell r="M316">
            <v>2.4405000000000017E-2</v>
          </cell>
          <cell r="N316">
            <v>2.4405000000000017E-2</v>
          </cell>
          <cell r="P316">
            <v>2.3184750000000014E-2</v>
          </cell>
          <cell r="Q316">
            <v>2.3184750000000014E-2</v>
          </cell>
          <cell r="R316">
            <v>2.3184750000000014E-2</v>
          </cell>
          <cell r="S316">
            <v>2.3184750000000014E-2</v>
          </cell>
          <cell r="U316">
            <v>2.2025512500000014E-2</v>
          </cell>
          <cell r="V316">
            <v>2.0924236875000012E-2</v>
          </cell>
          <cell r="W316">
            <v>1.987802503125001E-2</v>
          </cell>
        </row>
        <row r="317">
          <cell r="A317" t="str">
            <v>Ufa</v>
          </cell>
          <cell r="C317">
            <v>2.4405000000000017E-2</v>
          </cell>
          <cell r="D317">
            <v>2.4405000000000017E-2</v>
          </cell>
          <cell r="E317">
            <v>2.4405000000000017E-2</v>
          </cell>
          <cell r="F317">
            <v>2.4405000000000017E-2</v>
          </cell>
          <cell r="G317">
            <v>2.4405000000000017E-2</v>
          </cell>
          <cell r="H317">
            <v>2.4405000000000017E-2</v>
          </cell>
          <cell r="I317">
            <v>2.4405000000000017E-2</v>
          </cell>
          <cell r="J317">
            <v>2.4405000000000017E-2</v>
          </cell>
          <cell r="K317">
            <v>2.4405000000000017E-2</v>
          </cell>
          <cell r="L317">
            <v>2.4405000000000017E-2</v>
          </cell>
          <cell r="M317">
            <v>2.4405000000000017E-2</v>
          </cell>
          <cell r="N317">
            <v>2.4405000000000017E-2</v>
          </cell>
          <cell r="P317">
            <v>2.3184750000000014E-2</v>
          </cell>
          <cell r="Q317">
            <v>2.3184750000000014E-2</v>
          </cell>
          <cell r="R317">
            <v>2.3184750000000014E-2</v>
          </cell>
          <cell r="S317">
            <v>2.3184750000000014E-2</v>
          </cell>
          <cell r="U317">
            <v>2.2025512500000014E-2</v>
          </cell>
          <cell r="V317">
            <v>2.0924236875000012E-2</v>
          </cell>
          <cell r="W317">
            <v>1.987802503125001E-2</v>
          </cell>
        </row>
        <row r="318">
          <cell r="A318" t="str">
            <v>Vla</v>
          </cell>
          <cell r="C318">
            <v>2.4405000000000017E-2</v>
          </cell>
          <cell r="D318">
            <v>2.4405000000000017E-2</v>
          </cell>
          <cell r="E318">
            <v>2.4405000000000017E-2</v>
          </cell>
          <cell r="F318">
            <v>2.4405000000000017E-2</v>
          </cell>
          <cell r="G318">
            <v>2.4405000000000017E-2</v>
          </cell>
          <cell r="H318">
            <v>2.4405000000000017E-2</v>
          </cell>
          <cell r="I318">
            <v>2.4405000000000017E-2</v>
          </cell>
          <cell r="J318">
            <v>2.4405000000000017E-2</v>
          </cell>
          <cell r="K318">
            <v>2.4405000000000017E-2</v>
          </cell>
          <cell r="L318">
            <v>2.4405000000000017E-2</v>
          </cell>
          <cell r="M318">
            <v>2.4405000000000017E-2</v>
          </cell>
          <cell r="N318">
            <v>2.4405000000000017E-2</v>
          </cell>
          <cell r="P318">
            <v>2.3184750000000014E-2</v>
          </cell>
          <cell r="Q318">
            <v>2.3184750000000014E-2</v>
          </cell>
          <cell r="R318">
            <v>2.3184750000000014E-2</v>
          </cell>
          <cell r="S318">
            <v>2.3184750000000014E-2</v>
          </cell>
          <cell r="U318">
            <v>2.2025512500000014E-2</v>
          </cell>
          <cell r="V318">
            <v>2.0924236875000012E-2</v>
          </cell>
          <cell r="W318">
            <v>1.987802503125001E-2</v>
          </cell>
        </row>
        <row r="319">
          <cell r="A319" t="str">
            <v>Vol</v>
          </cell>
          <cell r="C319">
            <v>2.4405000000000017E-2</v>
          </cell>
          <cell r="D319">
            <v>2.4405000000000017E-2</v>
          </cell>
          <cell r="E319">
            <v>2.4405000000000017E-2</v>
          </cell>
          <cell r="F319">
            <v>2.4405000000000017E-2</v>
          </cell>
          <cell r="G319">
            <v>2.4405000000000017E-2</v>
          </cell>
          <cell r="H319">
            <v>2.4405000000000017E-2</v>
          </cell>
          <cell r="I319">
            <v>2.4405000000000017E-2</v>
          </cell>
          <cell r="J319">
            <v>2.4405000000000017E-2</v>
          </cell>
          <cell r="K319">
            <v>2.4405000000000017E-2</v>
          </cell>
          <cell r="L319">
            <v>2.4405000000000017E-2</v>
          </cell>
          <cell r="M319">
            <v>2.4405000000000017E-2</v>
          </cell>
          <cell r="N319">
            <v>2.4405000000000017E-2</v>
          </cell>
          <cell r="P319">
            <v>2.3184750000000014E-2</v>
          </cell>
          <cell r="Q319">
            <v>2.3184750000000014E-2</v>
          </cell>
          <cell r="R319">
            <v>2.3184750000000014E-2</v>
          </cell>
          <cell r="S319">
            <v>2.3184750000000014E-2</v>
          </cell>
          <cell r="U319">
            <v>2.2025512500000014E-2</v>
          </cell>
          <cell r="V319">
            <v>2.0924236875000012E-2</v>
          </cell>
          <cell r="W319">
            <v>1.987802503125001E-2</v>
          </cell>
        </row>
        <row r="320">
          <cell r="A320" t="str">
            <v>Vor</v>
          </cell>
          <cell r="C320">
            <v>2.4405000000000017E-2</v>
          </cell>
          <cell r="D320">
            <v>2.4405000000000017E-2</v>
          </cell>
          <cell r="E320">
            <v>2.4405000000000017E-2</v>
          </cell>
          <cell r="F320">
            <v>2.4405000000000017E-2</v>
          </cell>
          <cell r="G320">
            <v>2.4405000000000017E-2</v>
          </cell>
          <cell r="H320">
            <v>2.4405000000000017E-2</v>
          </cell>
          <cell r="I320">
            <v>2.4405000000000017E-2</v>
          </cell>
          <cell r="J320">
            <v>2.4405000000000017E-2</v>
          </cell>
          <cell r="K320">
            <v>2.4405000000000017E-2</v>
          </cell>
          <cell r="L320">
            <v>2.4405000000000017E-2</v>
          </cell>
          <cell r="M320">
            <v>2.4405000000000017E-2</v>
          </cell>
          <cell r="N320">
            <v>2.4405000000000017E-2</v>
          </cell>
          <cell r="P320">
            <v>2.3184750000000014E-2</v>
          </cell>
          <cell r="Q320">
            <v>2.3184750000000014E-2</v>
          </cell>
          <cell r="R320">
            <v>2.3184750000000014E-2</v>
          </cell>
          <cell r="S320">
            <v>2.3184750000000014E-2</v>
          </cell>
          <cell r="U320">
            <v>2.2025512500000014E-2</v>
          </cell>
          <cell r="V320">
            <v>2.0924236875000012E-2</v>
          </cell>
          <cell r="W320">
            <v>1.987802503125001E-2</v>
          </cell>
        </row>
        <row r="321">
          <cell r="A321" t="str">
            <v>97#1</v>
          </cell>
          <cell r="C321">
            <v>2.4405000000000017E-2</v>
          </cell>
          <cell r="D321">
            <v>2.4405000000000017E-2</v>
          </cell>
          <cell r="E321">
            <v>2.4405000000000017E-2</v>
          </cell>
          <cell r="F321">
            <v>2.4405000000000017E-2</v>
          </cell>
          <cell r="G321">
            <v>2.4405000000000017E-2</v>
          </cell>
          <cell r="H321">
            <v>2.4405000000000017E-2</v>
          </cell>
          <cell r="I321">
            <v>2.4405000000000017E-2</v>
          </cell>
          <cell r="J321">
            <v>2.4405000000000017E-2</v>
          </cell>
          <cell r="K321">
            <v>2.4405000000000017E-2</v>
          </cell>
          <cell r="L321">
            <v>2.4405000000000017E-2</v>
          </cell>
          <cell r="M321">
            <v>2.4405000000000017E-2</v>
          </cell>
          <cell r="N321">
            <v>2.4405000000000017E-2</v>
          </cell>
          <cell r="P321">
            <v>2.3184750000000014E-2</v>
          </cell>
          <cell r="Q321">
            <v>2.3184750000000014E-2</v>
          </cell>
          <cell r="R321">
            <v>2.3184750000000014E-2</v>
          </cell>
          <cell r="S321">
            <v>2.3184750000000014E-2</v>
          </cell>
          <cell r="U321">
            <v>2.2025512500000014E-2</v>
          </cell>
          <cell r="V321">
            <v>2.0924236875000012E-2</v>
          </cell>
          <cell r="W321">
            <v>1.987802503125001E-2</v>
          </cell>
        </row>
        <row r="322">
          <cell r="A322" t="str">
            <v>97#2</v>
          </cell>
          <cell r="C322">
            <v>2.4405000000000017E-2</v>
          </cell>
          <cell r="D322">
            <v>2.4405000000000017E-2</v>
          </cell>
          <cell r="E322">
            <v>2.4405000000000017E-2</v>
          </cell>
          <cell r="F322">
            <v>2.4405000000000017E-2</v>
          </cell>
          <cell r="G322">
            <v>2.4405000000000017E-2</v>
          </cell>
          <cell r="H322">
            <v>2.4405000000000017E-2</v>
          </cell>
          <cell r="I322">
            <v>2.4405000000000017E-2</v>
          </cell>
          <cell r="J322">
            <v>2.4405000000000017E-2</v>
          </cell>
          <cell r="K322">
            <v>2.4405000000000017E-2</v>
          </cell>
          <cell r="L322">
            <v>2.4405000000000017E-2</v>
          </cell>
          <cell r="M322">
            <v>2.4405000000000017E-2</v>
          </cell>
          <cell r="N322">
            <v>2.4405000000000017E-2</v>
          </cell>
          <cell r="P322">
            <v>2.3184750000000014E-2</v>
          </cell>
          <cell r="Q322">
            <v>2.3184750000000014E-2</v>
          </cell>
          <cell r="R322">
            <v>2.3184750000000014E-2</v>
          </cell>
          <cell r="S322">
            <v>2.3184750000000014E-2</v>
          </cell>
          <cell r="U322">
            <v>2.2025512500000014E-2</v>
          </cell>
          <cell r="V322">
            <v>2.0924236875000012E-2</v>
          </cell>
          <cell r="W322">
            <v>1.987802503125001E-2</v>
          </cell>
        </row>
        <row r="323">
          <cell r="A323" t="str">
            <v>98#1</v>
          </cell>
          <cell r="C323">
            <v>2.4405000000000017E-2</v>
          </cell>
          <cell r="D323">
            <v>2.4405000000000017E-2</v>
          </cell>
          <cell r="E323">
            <v>2.4405000000000017E-2</v>
          </cell>
          <cell r="F323">
            <v>2.4405000000000017E-2</v>
          </cell>
          <cell r="G323">
            <v>2.4405000000000017E-2</v>
          </cell>
          <cell r="H323">
            <v>2.4405000000000017E-2</v>
          </cell>
          <cell r="I323">
            <v>2.4405000000000017E-2</v>
          </cell>
          <cell r="J323">
            <v>2.4405000000000017E-2</v>
          </cell>
          <cell r="K323">
            <v>2.4405000000000017E-2</v>
          </cell>
          <cell r="L323">
            <v>2.4405000000000017E-2</v>
          </cell>
          <cell r="M323">
            <v>2.4405000000000017E-2</v>
          </cell>
          <cell r="N323">
            <v>2.4405000000000017E-2</v>
          </cell>
          <cell r="P323">
            <v>2.3184750000000014E-2</v>
          </cell>
          <cell r="Q323">
            <v>2.3184750000000014E-2</v>
          </cell>
          <cell r="R323">
            <v>2.3184750000000014E-2</v>
          </cell>
          <cell r="S323">
            <v>2.3184750000000014E-2</v>
          </cell>
          <cell r="U323">
            <v>2.2025512500000014E-2</v>
          </cell>
          <cell r="V323">
            <v>2.0924236875000012E-2</v>
          </cell>
          <cell r="W323">
            <v>1.987802503125001E-2</v>
          </cell>
        </row>
        <row r="324">
          <cell r="A324" t="str">
            <v>98#2</v>
          </cell>
          <cell r="C324">
            <v>2.4405000000000017E-2</v>
          </cell>
          <cell r="D324">
            <v>2.4405000000000017E-2</v>
          </cell>
          <cell r="E324">
            <v>2.4405000000000017E-2</v>
          </cell>
          <cell r="F324">
            <v>2.4405000000000017E-2</v>
          </cell>
          <cell r="G324">
            <v>2.4405000000000017E-2</v>
          </cell>
          <cell r="H324">
            <v>2.4405000000000017E-2</v>
          </cell>
          <cell r="I324">
            <v>2.4405000000000017E-2</v>
          </cell>
          <cell r="J324">
            <v>2.4405000000000017E-2</v>
          </cell>
          <cell r="K324">
            <v>2.4405000000000017E-2</v>
          </cell>
          <cell r="L324">
            <v>2.4405000000000017E-2</v>
          </cell>
          <cell r="M324">
            <v>2.4405000000000017E-2</v>
          </cell>
          <cell r="N324">
            <v>2.4405000000000017E-2</v>
          </cell>
          <cell r="P324">
            <v>2.3184750000000014E-2</v>
          </cell>
          <cell r="Q324">
            <v>2.3184750000000014E-2</v>
          </cell>
          <cell r="R324">
            <v>2.3184750000000014E-2</v>
          </cell>
          <cell r="S324">
            <v>2.3184750000000014E-2</v>
          </cell>
          <cell r="U324">
            <v>2.2025512500000014E-2</v>
          </cell>
          <cell r="V324">
            <v>2.0924236875000012E-2</v>
          </cell>
          <cell r="W324">
            <v>1.987802503125001E-2</v>
          </cell>
        </row>
        <row r="325">
          <cell r="A325" t="str">
            <v>Mos</v>
          </cell>
        </row>
        <row r="326">
          <cell r="A326" t="str">
            <v>Con</v>
          </cell>
          <cell r="C326">
            <v>0.41</v>
          </cell>
          <cell r="D326">
            <v>0.41</v>
          </cell>
          <cell r="E326">
            <v>0.41</v>
          </cell>
          <cell r="F326">
            <v>0.41</v>
          </cell>
          <cell r="G326">
            <v>0.41</v>
          </cell>
          <cell r="H326">
            <v>0.41</v>
          </cell>
          <cell r="I326">
            <v>0.41</v>
          </cell>
          <cell r="J326">
            <v>0.41</v>
          </cell>
          <cell r="K326">
            <v>0.41</v>
          </cell>
          <cell r="L326">
            <v>0.41</v>
          </cell>
          <cell r="M326">
            <v>0.41</v>
          </cell>
          <cell r="N326">
            <v>0.41</v>
          </cell>
          <cell r="P326">
            <v>0.38949999999999996</v>
          </cell>
          <cell r="Q326">
            <v>0.38949999999999996</v>
          </cell>
          <cell r="R326">
            <v>0.38949999999999996</v>
          </cell>
          <cell r="S326">
            <v>0.38949999999999996</v>
          </cell>
          <cell r="U326">
            <v>0.37002499999999994</v>
          </cell>
          <cell r="V326">
            <v>0.35152374999999991</v>
          </cell>
          <cell r="W326">
            <v>0.33394756249999991</v>
          </cell>
        </row>
        <row r="328">
          <cell r="A328" t="str">
            <v>MC Number of international min. per line</v>
          </cell>
        </row>
        <row r="329">
          <cell r="B329">
            <v>35765</v>
          </cell>
          <cell r="C329">
            <v>35796</v>
          </cell>
          <cell r="D329">
            <v>35827</v>
          </cell>
          <cell r="E329">
            <v>35855</v>
          </cell>
          <cell r="F329">
            <v>35886</v>
          </cell>
          <cell r="G329">
            <v>35916</v>
          </cell>
          <cell r="H329">
            <v>35947</v>
          </cell>
          <cell r="I329">
            <v>35977</v>
          </cell>
          <cell r="J329">
            <v>36008</v>
          </cell>
          <cell r="K329">
            <v>36039</v>
          </cell>
          <cell r="L329">
            <v>36069</v>
          </cell>
          <cell r="M329">
            <v>36100</v>
          </cell>
          <cell r="N329">
            <v>36130</v>
          </cell>
          <cell r="O329" t="str">
            <v>Total 98</v>
          </cell>
          <cell r="P329" t="str">
            <v>Q1-99</v>
          </cell>
          <cell r="Q329" t="str">
            <v>Q2-99</v>
          </cell>
          <cell r="R329" t="str">
            <v>Q3-99</v>
          </cell>
          <cell r="S329" t="str">
            <v>Q4-99</v>
          </cell>
          <cell r="T329" t="str">
            <v>Total 99</v>
          </cell>
          <cell r="U329">
            <v>2000</v>
          </cell>
          <cell r="V329">
            <v>2001</v>
          </cell>
          <cell r="W329">
            <v>2002</v>
          </cell>
        </row>
        <row r="330">
          <cell r="A330" t="str">
            <v>Ark</v>
          </cell>
          <cell r="C330">
            <v>10</v>
          </cell>
          <cell r="D330">
            <v>10</v>
          </cell>
          <cell r="E330">
            <v>10</v>
          </cell>
          <cell r="F330">
            <v>10</v>
          </cell>
          <cell r="G330">
            <v>10</v>
          </cell>
          <cell r="H330">
            <v>10</v>
          </cell>
          <cell r="I330">
            <v>10</v>
          </cell>
          <cell r="J330">
            <v>10</v>
          </cell>
          <cell r="K330">
            <v>10</v>
          </cell>
          <cell r="L330">
            <v>10</v>
          </cell>
          <cell r="M330">
            <v>10</v>
          </cell>
          <cell r="N330">
            <v>10</v>
          </cell>
          <cell r="P330">
            <v>10</v>
          </cell>
          <cell r="Q330">
            <v>10</v>
          </cell>
          <cell r="R330">
            <v>10</v>
          </cell>
          <cell r="S330">
            <v>10</v>
          </cell>
          <cell r="U330">
            <v>10</v>
          </cell>
          <cell r="V330">
            <v>10</v>
          </cell>
          <cell r="W330">
            <v>10</v>
          </cell>
        </row>
        <row r="331">
          <cell r="A331" t="str">
            <v>Eka</v>
          </cell>
          <cell r="C331">
            <v>5</v>
          </cell>
          <cell r="D331">
            <v>5</v>
          </cell>
          <cell r="E331">
            <v>5</v>
          </cell>
          <cell r="F331">
            <v>5</v>
          </cell>
          <cell r="G331">
            <v>5</v>
          </cell>
          <cell r="H331">
            <v>5</v>
          </cell>
          <cell r="I331">
            <v>5</v>
          </cell>
          <cell r="J331">
            <v>5</v>
          </cell>
          <cell r="K331">
            <v>5</v>
          </cell>
          <cell r="L331">
            <v>5</v>
          </cell>
          <cell r="M331">
            <v>5</v>
          </cell>
          <cell r="N331">
            <v>5</v>
          </cell>
          <cell r="P331">
            <v>5</v>
          </cell>
          <cell r="Q331">
            <v>5</v>
          </cell>
          <cell r="R331">
            <v>5</v>
          </cell>
          <cell r="S331">
            <v>5</v>
          </cell>
          <cell r="U331">
            <v>5</v>
          </cell>
          <cell r="V331">
            <v>5</v>
          </cell>
          <cell r="W331">
            <v>5</v>
          </cell>
        </row>
        <row r="332">
          <cell r="A332" t="str">
            <v>Irk</v>
          </cell>
          <cell r="C332">
            <v>20</v>
          </cell>
          <cell r="D332">
            <v>20</v>
          </cell>
          <cell r="E332">
            <v>20</v>
          </cell>
          <cell r="F332">
            <v>20</v>
          </cell>
          <cell r="G332">
            <v>20</v>
          </cell>
          <cell r="H332">
            <v>20</v>
          </cell>
          <cell r="I332">
            <v>20</v>
          </cell>
          <cell r="J332">
            <v>20</v>
          </cell>
          <cell r="K332">
            <v>20</v>
          </cell>
          <cell r="L332">
            <v>20</v>
          </cell>
          <cell r="M332">
            <v>20</v>
          </cell>
          <cell r="N332">
            <v>20</v>
          </cell>
          <cell r="P332">
            <v>20</v>
          </cell>
          <cell r="Q332">
            <v>20</v>
          </cell>
          <cell r="R332">
            <v>20</v>
          </cell>
          <cell r="S332">
            <v>20</v>
          </cell>
          <cell r="U332">
            <v>20</v>
          </cell>
          <cell r="V332">
            <v>20</v>
          </cell>
          <cell r="W332">
            <v>20</v>
          </cell>
        </row>
        <row r="333">
          <cell r="A333" t="str">
            <v>Kha</v>
          </cell>
          <cell r="C333">
            <v>20</v>
          </cell>
          <cell r="D333">
            <v>20</v>
          </cell>
          <cell r="E333">
            <v>20</v>
          </cell>
          <cell r="F333">
            <v>20</v>
          </cell>
          <cell r="G333">
            <v>20</v>
          </cell>
          <cell r="H333">
            <v>20</v>
          </cell>
          <cell r="I333">
            <v>20</v>
          </cell>
          <cell r="J333">
            <v>20</v>
          </cell>
          <cell r="K333">
            <v>20</v>
          </cell>
          <cell r="L333">
            <v>20</v>
          </cell>
          <cell r="M333">
            <v>20</v>
          </cell>
          <cell r="N333">
            <v>20</v>
          </cell>
          <cell r="P333">
            <v>20</v>
          </cell>
          <cell r="Q333">
            <v>20</v>
          </cell>
          <cell r="R333">
            <v>20</v>
          </cell>
          <cell r="S333">
            <v>20</v>
          </cell>
          <cell r="U333">
            <v>20</v>
          </cell>
          <cell r="V333">
            <v>20</v>
          </cell>
          <cell r="W333">
            <v>20</v>
          </cell>
        </row>
        <row r="334">
          <cell r="A334" t="str">
            <v>Kra</v>
          </cell>
          <cell r="C334">
            <v>10</v>
          </cell>
          <cell r="D334">
            <v>10</v>
          </cell>
          <cell r="E334">
            <v>10</v>
          </cell>
          <cell r="F334">
            <v>10</v>
          </cell>
          <cell r="G334">
            <v>10</v>
          </cell>
          <cell r="H334">
            <v>10</v>
          </cell>
          <cell r="I334">
            <v>10</v>
          </cell>
          <cell r="J334">
            <v>10</v>
          </cell>
          <cell r="K334">
            <v>10</v>
          </cell>
          <cell r="L334">
            <v>10</v>
          </cell>
          <cell r="M334">
            <v>10</v>
          </cell>
          <cell r="N334">
            <v>10</v>
          </cell>
          <cell r="P334">
            <v>10</v>
          </cell>
          <cell r="Q334">
            <v>10</v>
          </cell>
          <cell r="R334">
            <v>10</v>
          </cell>
          <cell r="S334">
            <v>10</v>
          </cell>
          <cell r="U334">
            <v>10</v>
          </cell>
          <cell r="V334">
            <v>10</v>
          </cell>
          <cell r="W334">
            <v>10</v>
          </cell>
        </row>
        <row r="335">
          <cell r="A335" t="str">
            <v>Niz</v>
          </cell>
          <cell r="C335">
            <v>5</v>
          </cell>
          <cell r="D335">
            <v>5</v>
          </cell>
          <cell r="E335">
            <v>5</v>
          </cell>
          <cell r="F335">
            <v>5</v>
          </cell>
          <cell r="G335">
            <v>5</v>
          </cell>
          <cell r="H335">
            <v>5</v>
          </cell>
          <cell r="I335">
            <v>5</v>
          </cell>
          <cell r="J335">
            <v>5</v>
          </cell>
          <cell r="K335">
            <v>5</v>
          </cell>
          <cell r="L335">
            <v>5</v>
          </cell>
          <cell r="M335">
            <v>5</v>
          </cell>
          <cell r="N335">
            <v>5</v>
          </cell>
          <cell r="P335">
            <v>5</v>
          </cell>
          <cell r="Q335">
            <v>5</v>
          </cell>
          <cell r="R335">
            <v>5</v>
          </cell>
          <cell r="S335">
            <v>5</v>
          </cell>
          <cell r="U335">
            <v>5</v>
          </cell>
          <cell r="V335">
            <v>5</v>
          </cell>
          <cell r="W335">
            <v>5</v>
          </cell>
        </row>
        <row r="336">
          <cell r="A336" t="str">
            <v>Nov</v>
          </cell>
          <cell r="C336">
            <v>5</v>
          </cell>
          <cell r="D336">
            <v>5</v>
          </cell>
          <cell r="E336">
            <v>5</v>
          </cell>
          <cell r="F336">
            <v>5</v>
          </cell>
          <cell r="G336">
            <v>5</v>
          </cell>
          <cell r="H336">
            <v>5</v>
          </cell>
          <cell r="I336">
            <v>5</v>
          </cell>
          <cell r="J336">
            <v>5</v>
          </cell>
          <cell r="K336">
            <v>5</v>
          </cell>
          <cell r="L336">
            <v>5</v>
          </cell>
          <cell r="M336">
            <v>5</v>
          </cell>
          <cell r="N336">
            <v>5</v>
          </cell>
          <cell r="P336">
            <v>5</v>
          </cell>
          <cell r="Q336">
            <v>5</v>
          </cell>
          <cell r="R336">
            <v>5</v>
          </cell>
          <cell r="S336">
            <v>5</v>
          </cell>
          <cell r="U336">
            <v>5</v>
          </cell>
          <cell r="V336">
            <v>5</v>
          </cell>
          <cell r="W336">
            <v>5</v>
          </cell>
        </row>
        <row r="337">
          <cell r="A337" t="str">
            <v>Syk</v>
          </cell>
          <cell r="C337">
            <v>30</v>
          </cell>
          <cell r="D337">
            <v>30</v>
          </cell>
          <cell r="E337">
            <v>30</v>
          </cell>
          <cell r="F337">
            <v>30</v>
          </cell>
          <cell r="G337">
            <v>30</v>
          </cell>
          <cell r="H337">
            <v>30</v>
          </cell>
          <cell r="I337">
            <v>30</v>
          </cell>
          <cell r="J337">
            <v>30</v>
          </cell>
          <cell r="K337">
            <v>30</v>
          </cell>
          <cell r="L337">
            <v>30</v>
          </cell>
          <cell r="M337">
            <v>30</v>
          </cell>
          <cell r="N337">
            <v>30</v>
          </cell>
          <cell r="P337">
            <v>30</v>
          </cell>
          <cell r="Q337">
            <v>30</v>
          </cell>
          <cell r="R337">
            <v>30</v>
          </cell>
          <cell r="S337">
            <v>30</v>
          </cell>
          <cell r="U337">
            <v>30</v>
          </cell>
          <cell r="V337">
            <v>30</v>
          </cell>
          <cell r="W337">
            <v>30</v>
          </cell>
        </row>
        <row r="338">
          <cell r="A338" t="str">
            <v>Tyu</v>
          </cell>
          <cell r="C338">
            <v>5</v>
          </cell>
          <cell r="D338">
            <v>5</v>
          </cell>
          <cell r="E338">
            <v>5</v>
          </cell>
          <cell r="F338">
            <v>5</v>
          </cell>
          <cell r="G338">
            <v>5</v>
          </cell>
          <cell r="H338">
            <v>5</v>
          </cell>
          <cell r="I338">
            <v>5</v>
          </cell>
          <cell r="J338">
            <v>5</v>
          </cell>
          <cell r="K338">
            <v>5</v>
          </cell>
          <cell r="L338">
            <v>5</v>
          </cell>
          <cell r="M338">
            <v>5</v>
          </cell>
          <cell r="N338">
            <v>5</v>
          </cell>
          <cell r="P338">
            <v>5</v>
          </cell>
          <cell r="Q338">
            <v>5</v>
          </cell>
          <cell r="R338">
            <v>5</v>
          </cell>
          <cell r="S338">
            <v>5</v>
          </cell>
          <cell r="U338">
            <v>5</v>
          </cell>
          <cell r="V338">
            <v>5</v>
          </cell>
          <cell r="W338">
            <v>5</v>
          </cell>
        </row>
        <row r="339">
          <cell r="A339" t="str">
            <v>Ufa</v>
          </cell>
          <cell r="C339">
            <v>5</v>
          </cell>
          <cell r="D339">
            <v>5</v>
          </cell>
          <cell r="E339">
            <v>5</v>
          </cell>
          <cell r="F339">
            <v>5</v>
          </cell>
          <cell r="G339">
            <v>5</v>
          </cell>
          <cell r="H339">
            <v>5</v>
          </cell>
          <cell r="I339">
            <v>5</v>
          </cell>
          <cell r="J339">
            <v>5</v>
          </cell>
          <cell r="K339">
            <v>5</v>
          </cell>
          <cell r="L339">
            <v>5</v>
          </cell>
          <cell r="M339">
            <v>5</v>
          </cell>
          <cell r="N339">
            <v>5</v>
          </cell>
          <cell r="P339">
            <v>5</v>
          </cell>
          <cell r="Q339">
            <v>5</v>
          </cell>
          <cell r="R339">
            <v>5</v>
          </cell>
          <cell r="S339">
            <v>5</v>
          </cell>
          <cell r="U339">
            <v>5</v>
          </cell>
          <cell r="V339">
            <v>5</v>
          </cell>
          <cell r="W339">
            <v>5</v>
          </cell>
        </row>
        <row r="340">
          <cell r="A340" t="str">
            <v>Vla</v>
          </cell>
          <cell r="C340">
            <v>5</v>
          </cell>
          <cell r="D340">
            <v>5</v>
          </cell>
          <cell r="E340">
            <v>5</v>
          </cell>
          <cell r="F340">
            <v>5</v>
          </cell>
          <cell r="G340">
            <v>5</v>
          </cell>
          <cell r="H340">
            <v>5</v>
          </cell>
          <cell r="I340">
            <v>5</v>
          </cell>
          <cell r="J340">
            <v>5</v>
          </cell>
          <cell r="K340">
            <v>5</v>
          </cell>
          <cell r="L340">
            <v>5</v>
          </cell>
          <cell r="M340">
            <v>5</v>
          </cell>
          <cell r="N340">
            <v>5</v>
          </cell>
          <cell r="P340">
            <v>5</v>
          </cell>
          <cell r="Q340">
            <v>5</v>
          </cell>
          <cell r="R340">
            <v>5</v>
          </cell>
          <cell r="S340">
            <v>5</v>
          </cell>
          <cell r="U340">
            <v>5</v>
          </cell>
          <cell r="V340">
            <v>5</v>
          </cell>
          <cell r="W340">
            <v>5</v>
          </cell>
        </row>
        <row r="341">
          <cell r="A341" t="str">
            <v>Vol</v>
          </cell>
          <cell r="C341">
            <v>5</v>
          </cell>
          <cell r="D341">
            <v>5</v>
          </cell>
          <cell r="E341">
            <v>5</v>
          </cell>
          <cell r="F341">
            <v>5</v>
          </cell>
          <cell r="G341">
            <v>5</v>
          </cell>
          <cell r="H341">
            <v>5</v>
          </cell>
          <cell r="I341">
            <v>5</v>
          </cell>
          <cell r="J341">
            <v>5</v>
          </cell>
          <cell r="K341">
            <v>5</v>
          </cell>
          <cell r="L341">
            <v>5</v>
          </cell>
          <cell r="M341">
            <v>5</v>
          </cell>
          <cell r="N341">
            <v>5</v>
          </cell>
          <cell r="P341">
            <v>5</v>
          </cell>
          <cell r="Q341">
            <v>5</v>
          </cell>
          <cell r="R341">
            <v>5</v>
          </cell>
          <cell r="S341">
            <v>5</v>
          </cell>
          <cell r="U341">
            <v>5</v>
          </cell>
          <cell r="V341">
            <v>5</v>
          </cell>
          <cell r="W341">
            <v>5</v>
          </cell>
        </row>
        <row r="342">
          <cell r="A342" t="str">
            <v>Vor</v>
          </cell>
          <cell r="C342">
            <v>5</v>
          </cell>
          <cell r="D342">
            <v>5</v>
          </cell>
          <cell r="E342">
            <v>5</v>
          </cell>
          <cell r="F342">
            <v>5</v>
          </cell>
          <cell r="G342">
            <v>5</v>
          </cell>
          <cell r="H342">
            <v>5</v>
          </cell>
          <cell r="I342">
            <v>5</v>
          </cell>
          <cell r="J342">
            <v>5</v>
          </cell>
          <cell r="K342">
            <v>5</v>
          </cell>
          <cell r="L342">
            <v>5</v>
          </cell>
          <cell r="M342">
            <v>5</v>
          </cell>
          <cell r="N342">
            <v>5</v>
          </cell>
          <cell r="P342">
            <v>5</v>
          </cell>
          <cell r="Q342">
            <v>5</v>
          </cell>
          <cell r="R342">
            <v>5</v>
          </cell>
          <cell r="S342">
            <v>5</v>
          </cell>
          <cell r="U342">
            <v>5</v>
          </cell>
          <cell r="V342">
            <v>5</v>
          </cell>
          <cell r="W342">
            <v>5</v>
          </cell>
        </row>
        <row r="343">
          <cell r="A343" t="str">
            <v>97#1</v>
          </cell>
          <cell r="C343">
            <v>5</v>
          </cell>
          <cell r="D343">
            <v>5</v>
          </cell>
          <cell r="E343">
            <v>5</v>
          </cell>
          <cell r="F343">
            <v>5</v>
          </cell>
          <cell r="G343">
            <v>5</v>
          </cell>
          <cell r="H343">
            <v>5</v>
          </cell>
          <cell r="I343">
            <v>5</v>
          </cell>
          <cell r="J343">
            <v>5</v>
          </cell>
          <cell r="K343">
            <v>5</v>
          </cell>
          <cell r="L343">
            <v>5</v>
          </cell>
          <cell r="M343">
            <v>5</v>
          </cell>
          <cell r="N343">
            <v>5</v>
          </cell>
          <cell r="P343">
            <v>5</v>
          </cell>
          <cell r="Q343">
            <v>5</v>
          </cell>
          <cell r="R343">
            <v>5</v>
          </cell>
          <cell r="S343">
            <v>5</v>
          </cell>
          <cell r="U343">
            <v>5</v>
          </cell>
          <cell r="V343">
            <v>5</v>
          </cell>
          <cell r="W343">
            <v>5</v>
          </cell>
        </row>
        <row r="344">
          <cell r="A344" t="str">
            <v>97#2</v>
          </cell>
          <cell r="C344">
            <v>5</v>
          </cell>
          <cell r="D344">
            <v>5</v>
          </cell>
          <cell r="E344">
            <v>5</v>
          </cell>
          <cell r="F344">
            <v>5</v>
          </cell>
          <cell r="G344">
            <v>5</v>
          </cell>
          <cell r="H344">
            <v>5</v>
          </cell>
          <cell r="I344">
            <v>5</v>
          </cell>
          <cell r="J344">
            <v>5</v>
          </cell>
          <cell r="K344">
            <v>5</v>
          </cell>
          <cell r="L344">
            <v>5</v>
          </cell>
          <cell r="M344">
            <v>5</v>
          </cell>
          <cell r="N344">
            <v>5</v>
          </cell>
          <cell r="P344">
            <v>5</v>
          </cell>
          <cell r="Q344">
            <v>5</v>
          </cell>
          <cell r="R344">
            <v>5</v>
          </cell>
          <cell r="S344">
            <v>5</v>
          </cell>
          <cell r="U344">
            <v>5</v>
          </cell>
          <cell r="V344">
            <v>5</v>
          </cell>
          <cell r="W344">
            <v>5</v>
          </cell>
        </row>
        <row r="345">
          <cell r="A345" t="str">
            <v>98#1</v>
          </cell>
          <cell r="C345">
            <v>5</v>
          </cell>
          <cell r="D345">
            <v>5</v>
          </cell>
          <cell r="E345">
            <v>5</v>
          </cell>
          <cell r="F345">
            <v>5</v>
          </cell>
          <cell r="G345">
            <v>5</v>
          </cell>
          <cell r="H345">
            <v>5</v>
          </cell>
          <cell r="I345">
            <v>5</v>
          </cell>
          <cell r="J345">
            <v>5</v>
          </cell>
          <cell r="K345">
            <v>5</v>
          </cell>
          <cell r="L345">
            <v>5</v>
          </cell>
          <cell r="M345">
            <v>5</v>
          </cell>
          <cell r="N345">
            <v>5</v>
          </cell>
          <cell r="P345">
            <v>5</v>
          </cell>
          <cell r="Q345">
            <v>5</v>
          </cell>
          <cell r="R345">
            <v>5</v>
          </cell>
          <cell r="S345">
            <v>5</v>
          </cell>
          <cell r="U345">
            <v>5</v>
          </cell>
          <cell r="V345">
            <v>5</v>
          </cell>
          <cell r="W345">
            <v>5</v>
          </cell>
        </row>
        <row r="346">
          <cell r="A346" t="str">
            <v>98#2</v>
          </cell>
          <cell r="C346">
            <v>5</v>
          </cell>
          <cell r="D346">
            <v>5</v>
          </cell>
          <cell r="E346">
            <v>5</v>
          </cell>
          <cell r="F346">
            <v>5</v>
          </cell>
          <cell r="G346">
            <v>5</v>
          </cell>
          <cell r="H346">
            <v>5</v>
          </cell>
          <cell r="I346">
            <v>5</v>
          </cell>
          <cell r="J346">
            <v>5</v>
          </cell>
          <cell r="K346">
            <v>5</v>
          </cell>
          <cell r="L346">
            <v>5</v>
          </cell>
          <cell r="M346">
            <v>5</v>
          </cell>
          <cell r="N346">
            <v>5</v>
          </cell>
          <cell r="P346">
            <v>5</v>
          </cell>
          <cell r="Q346">
            <v>5</v>
          </cell>
          <cell r="R346">
            <v>5</v>
          </cell>
          <cell r="S346">
            <v>5</v>
          </cell>
          <cell r="U346">
            <v>5</v>
          </cell>
          <cell r="V346">
            <v>5</v>
          </cell>
          <cell r="W346">
            <v>5</v>
          </cell>
        </row>
        <row r="347">
          <cell r="A347" t="str">
            <v>Mos</v>
          </cell>
        </row>
        <row r="348">
          <cell r="A348" t="str">
            <v>Con</v>
          </cell>
        </row>
        <row r="350">
          <cell r="A350" t="str">
            <v>MC Average international tariff</v>
          </cell>
        </row>
        <row r="351">
          <cell r="B351">
            <v>35765</v>
          </cell>
          <cell r="C351">
            <v>35796</v>
          </cell>
          <cell r="D351">
            <v>35827</v>
          </cell>
          <cell r="E351">
            <v>35855</v>
          </cell>
          <cell r="F351">
            <v>35886</v>
          </cell>
          <cell r="G351">
            <v>35916</v>
          </cell>
          <cell r="H351">
            <v>35947</v>
          </cell>
          <cell r="I351">
            <v>35977</v>
          </cell>
          <cell r="J351">
            <v>36008</v>
          </cell>
          <cell r="K351">
            <v>36039</v>
          </cell>
          <cell r="L351">
            <v>36069</v>
          </cell>
          <cell r="M351">
            <v>36100</v>
          </cell>
          <cell r="N351">
            <v>36130</v>
          </cell>
          <cell r="O351" t="str">
            <v>Total 98</v>
          </cell>
          <cell r="P351" t="str">
            <v>Q1-99</v>
          </cell>
          <cell r="Q351" t="str">
            <v>Q2-99</v>
          </cell>
          <cell r="R351" t="str">
            <v>Q3-99</v>
          </cell>
          <cell r="S351" t="str">
            <v>Q4-99</v>
          </cell>
          <cell r="T351" t="str">
            <v>Total 99</v>
          </cell>
          <cell r="U351">
            <v>2000</v>
          </cell>
          <cell r="V351">
            <v>2001</v>
          </cell>
          <cell r="W351">
            <v>2002</v>
          </cell>
        </row>
        <row r="352">
          <cell r="A352" t="str">
            <v>Ark</v>
          </cell>
          <cell r="C352">
            <v>0.42133876479999999</v>
          </cell>
          <cell r="D352">
            <v>0.42133876479999999</v>
          </cell>
          <cell r="E352">
            <v>0.42133876479999999</v>
          </cell>
          <cell r="F352">
            <v>0.42133876479999999</v>
          </cell>
          <cell r="G352">
            <v>0.42133876479999999</v>
          </cell>
          <cell r="H352">
            <v>0.42133876479999999</v>
          </cell>
          <cell r="I352">
            <v>0.42133876479999999</v>
          </cell>
          <cell r="J352">
            <v>0.42133876479999999</v>
          </cell>
          <cell r="K352">
            <v>0.42133876479999999</v>
          </cell>
          <cell r="L352">
            <v>0.42133876479999999</v>
          </cell>
          <cell r="M352">
            <v>0.42133876479999999</v>
          </cell>
          <cell r="N352">
            <v>0.42133876479999999</v>
          </cell>
          <cell r="P352">
            <v>0.40027182655999999</v>
          </cell>
          <cell r="Q352">
            <v>0.40027182655999999</v>
          </cell>
          <cell r="R352">
            <v>0.40027182655999999</v>
          </cell>
          <cell r="S352">
            <v>0.40027182655999999</v>
          </cell>
          <cell r="U352">
            <v>0.38025823523199997</v>
          </cell>
          <cell r="V352">
            <v>0.36124532347039995</v>
          </cell>
          <cell r="W352">
            <v>0.34318305729687992</v>
          </cell>
        </row>
        <row r="353">
          <cell r="A353" t="str">
            <v>Eka</v>
          </cell>
          <cell r="C353">
            <v>0.42133876479999999</v>
          </cell>
          <cell r="D353">
            <v>0.42133876479999999</v>
          </cell>
          <cell r="E353">
            <v>0.42133876479999999</v>
          </cell>
          <cell r="F353">
            <v>0.42133876479999999</v>
          </cell>
          <cell r="G353">
            <v>0.42133876479999999</v>
          </cell>
          <cell r="H353">
            <v>0.42133876479999999</v>
          </cell>
          <cell r="I353">
            <v>0.42133876479999999</v>
          </cell>
          <cell r="J353">
            <v>0.42133876479999999</v>
          </cell>
          <cell r="K353">
            <v>0.42133876479999999</v>
          </cell>
          <cell r="L353">
            <v>0.42133876479999999</v>
          </cell>
          <cell r="M353">
            <v>0.42133876479999999</v>
          </cell>
          <cell r="N353">
            <v>0.42133876479999999</v>
          </cell>
          <cell r="P353">
            <v>0.40027182655999999</v>
          </cell>
          <cell r="Q353">
            <v>0.40027182655999999</v>
          </cell>
          <cell r="R353">
            <v>0.40027182655999999</v>
          </cell>
          <cell r="S353">
            <v>0.40027182655999999</v>
          </cell>
          <cell r="U353">
            <v>0.38025823523199997</v>
          </cell>
          <cell r="V353">
            <v>0.36124532347039995</v>
          </cell>
          <cell r="W353">
            <v>0.34318305729687992</v>
          </cell>
        </row>
        <row r="354">
          <cell r="A354" t="str">
            <v>Irk</v>
          </cell>
          <cell r="C354">
            <v>0.42133876479999999</v>
          </cell>
          <cell r="D354">
            <v>0.42133876479999999</v>
          </cell>
          <cell r="E354">
            <v>0.42133876479999999</v>
          </cell>
          <cell r="F354">
            <v>0.42133876479999999</v>
          </cell>
          <cell r="G354">
            <v>0.42133876479999999</v>
          </cell>
          <cell r="H354">
            <v>0.42133876479999999</v>
          </cell>
          <cell r="I354">
            <v>0.42133876479999999</v>
          </cell>
          <cell r="J354">
            <v>0.42133876479999999</v>
          </cell>
          <cell r="K354">
            <v>0.42133876479999999</v>
          </cell>
          <cell r="L354">
            <v>0.42133876479999999</v>
          </cell>
          <cell r="M354">
            <v>0.42133876479999999</v>
          </cell>
          <cell r="N354">
            <v>0.42133876479999999</v>
          </cell>
          <cell r="P354">
            <v>0.40027182655999999</v>
          </cell>
          <cell r="Q354">
            <v>0.40027182655999999</v>
          </cell>
          <cell r="R354">
            <v>0.40027182655999999</v>
          </cell>
          <cell r="S354">
            <v>0.40027182655999999</v>
          </cell>
          <cell r="U354">
            <v>0.38025823523199997</v>
          </cell>
          <cell r="V354">
            <v>0.36124532347039995</v>
          </cell>
          <cell r="W354">
            <v>0.34318305729687992</v>
          </cell>
        </row>
        <row r="355">
          <cell r="A355" t="str">
            <v>Kha</v>
          </cell>
          <cell r="C355">
            <v>0.42133876479999999</v>
          </cell>
          <cell r="D355">
            <v>0.42133876479999999</v>
          </cell>
          <cell r="E355">
            <v>0.42133876479999999</v>
          </cell>
          <cell r="F355">
            <v>0.42133876479999999</v>
          </cell>
          <cell r="G355">
            <v>0.42133876479999999</v>
          </cell>
          <cell r="H355">
            <v>0.42133876479999999</v>
          </cell>
          <cell r="I355">
            <v>0.42133876479999999</v>
          </cell>
          <cell r="J355">
            <v>0.42133876479999999</v>
          </cell>
          <cell r="K355">
            <v>0.42133876479999999</v>
          </cell>
          <cell r="L355">
            <v>0.42133876479999999</v>
          </cell>
          <cell r="M355">
            <v>0.42133876479999999</v>
          </cell>
          <cell r="N355">
            <v>0.42133876479999999</v>
          </cell>
          <cell r="P355">
            <v>0.40027182655999999</v>
          </cell>
          <cell r="Q355">
            <v>0.40027182655999999</v>
          </cell>
          <cell r="R355">
            <v>0.40027182655999999</v>
          </cell>
          <cell r="S355">
            <v>0.40027182655999999</v>
          </cell>
          <cell r="U355">
            <v>0.38025823523199997</v>
          </cell>
          <cell r="V355">
            <v>0.36124532347039995</v>
          </cell>
          <cell r="W355">
            <v>0.34318305729687992</v>
          </cell>
        </row>
        <row r="356">
          <cell r="A356" t="str">
            <v>Kra</v>
          </cell>
          <cell r="C356">
            <v>0.42133876479999999</v>
          </cell>
          <cell r="D356">
            <v>0.42133876479999999</v>
          </cell>
          <cell r="E356">
            <v>0.42133876479999999</v>
          </cell>
          <cell r="F356">
            <v>0.42133876479999999</v>
          </cell>
          <cell r="G356">
            <v>0.42133876479999999</v>
          </cell>
          <cell r="H356">
            <v>0.42133876479999999</v>
          </cell>
          <cell r="I356">
            <v>0.42133876479999999</v>
          </cell>
          <cell r="J356">
            <v>0.42133876479999999</v>
          </cell>
          <cell r="K356">
            <v>0.42133876479999999</v>
          </cell>
          <cell r="L356">
            <v>0.42133876479999999</v>
          </cell>
          <cell r="M356">
            <v>0.42133876479999999</v>
          </cell>
          <cell r="N356">
            <v>0.42133876479999999</v>
          </cell>
          <cell r="P356">
            <v>0.40027182655999999</v>
          </cell>
          <cell r="Q356">
            <v>0.40027182655999999</v>
          </cell>
          <cell r="R356">
            <v>0.40027182655999999</v>
          </cell>
          <cell r="S356">
            <v>0.40027182655999999</v>
          </cell>
          <cell r="U356">
            <v>0.38025823523199997</v>
          </cell>
          <cell r="V356">
            <v>0.36124532347039995</v>
          </cell>
          <cell r="W356">
            <v>0.34318305729687992</v>
          </cell>
        </row>
        <row r="357">
          <cell r="A357" t="str">
            <v>Niz</v>
          </cell>
          <cell r="C357">
            <v>0.42133876479999999</v>
          </cell>
          <cell r="D357">
            <v>0.42133876479999999</v>
          </cell>
          <cell r="E357">
            <v>0.42133876479999999</v>
          </cell>
          <cell r="F357">
            <v>0.42133876479999999</v>
          </cell>
          <cell r="G357">
            <v>0.42133876479999999</v>
          </cell>
          <cell r="H357">
            <v>0.42133876479999999</v>
          </cell>
          <cell r="I357">
            <v>0.42133876479999999</v>
          </cell>
          <cell r="J357">
            <v>0.42133876479999999</v>
          </cell>
          <cell r="K357">
            <v>0.42133876479999999</v>
          </cell>
          <cell r="L357">
            <v>0.42133876479999999</v>
          </cell>
          <cell r="M357">
            <v>0.42133876479999999</v>
          </cell>
          <cell r="N357">
            <v>0.42133876479999999</v>
          </cell>
          <cell r="P357">
            <v>0.40027182655999999</v>
          </cell>
          <cell r="Q357">
            <v>0.40027182655999999</v>
          </cell>
          <cell r="R357">
            <v>0.40027182655999999</v>
          </cell>
          <cell r="S357">
            <v>0.40027182655999999</v>
          </cell>
          <cell r="U357">
            <v>0.38025823523199997</v>
          </cell>
          <cell r="V357">
            <v>0.36124532347039995</v>
          </cell>
          <cell r="W357">
            <v>0.34318305729687992</v>
          </cell>
        </row>
        <row r="358">
          <cell r="A358" t="str">
            <v>Nov</v>
          </cell>
          <cell r="C358">
            <v>0.42133876479999999</v>
          </cell>
          <cell r="D358">
            <v>0.42133876479999999</v>
          </cell>
          <cell r="E358">
            <v>0.42133876479999999</v>
          </cell>
          <cell r="F358">
            <v>0.42133876479999999</v>
          </cell>
          <cell r="G358">
            <v>0.42133876479999999</v>
          </cell>
          <cell r="H358">
            <v>0.42133876479999999</v>
          </cell>
          <cell r="I358">
            <v>0.42133876479999999</v>
          </cell>
          <cell r="J358">
            <v>0.42133876479999999</v>
          </cell>
          <cell r="K358">
            <v>0.42133876479999999</v>
          </cell>
          <cell r="L358">
            <v>0.42133876479999999</v>
          </cell>
          <cell r="M358">
            <v>0.42133876479999999</v>
          </cell>
          <cell r="N358">
            <v>0.42133876479999999</v>
          </cell>
          <cell r="P358">
            <v>0.40027182655999999</v>
          </cell>
          <cell r="Q358">
            <v>0.40027182655999999</v>
          </cell>
          <cell r="R358">
            <v>0.40027182655999999</v>
          </cell>
          <cell r="S358">
            <v>0.40027182655999999</v>
          </cell>
          <cell r="U358">
            <v>0.38025823523199997</v>
          </cell>
          <cell r="V358">
            <v>0.36124532347039995</v>
          </cell>
          <cell r="W358">
            <v>0.34318305729687992</v>
          </cell>
        </row>
        <row r="359">
          <cell r="A359" t="str">
            <v>Syk</v>
          </cell>
          <cell r="C359">
            <v>0.42133876479999999</v>
          </cell>
          <cell r="D359">
            <v>0.42133876479999999</v>
          </cell>
          <cell r="E359">
            <v>0.42133876479999999</v>
          </cell>
          <cell r="F359">
            <v>0.42133876479999999</v>
          </cell>
          <cell r="G359">
            <v>0.42133876479999999</v>
          </cell>
          <cell r="H359">
            <v>0.42133876479999999</v>
          </cell>
          <cell r="I359">
            <v>0.42133876479999999</v>
          </cell>
          <cell r="J359">
            <v>0.42133876479999999</v>
          </cell>
          <cell r="K359">
            <v>0.42133876479999999</v>
          </cell>
          <cell r="L359">
            <v>0.42133876479999999</v>
          </cell>
          <cell r="M359">
            <v>0.42133876479999999</v>
          </cell>
          <cell r="N359">
            <v>0.42133876479999999</v>
          </cell>
          <cell r="P359">
            <v>0.40027182655999999</v>
          </cell>
          <cell r="Q359">
            <v>0.40027182655999999</v>
          </cell>
          <cell r="R359">
            <v>0.40027182655999999</v>
          </cell>
          <cell r="S359">
            <v>0.40027182655999999</v>
          </cell>
          <cell r="U359">
            <v>0.38025823523199997</v>
          </cell>
          <cell r="V359">
            <v>0.36124532347039995</v>
          </cell>
          <cell r="W359">
            <v>0.34318305729687992</v>
          </cell>
        </row>
        <row r="360">
          <cell r="A360" t="str">
            <v>Tyu</v>
          </cell>
          <cell r="C360">
            <v>0.42133876479999999</v>
          </cell>
          <cell r="D360">
            <v>0.42133876479999999</v>
          </cell>
          <cell r="E360">
            <v>0.42133876479999999</v>
          </cell>
          <cell r="F360">
            <v>0.42133876479999999</v>
          </cell>
          <cell r="G360">
            <v>0.42133876479999999</v>
          </cell>
          <cell r="H360">
            <v>0.42133876479999999</v>
          </cell>
          <cell r="I360">
            <v>0.42133876479999999</v>
          </cell>
          <cell r="J360">
            <v>0.42133876479999999</v>
          </cell>
          <cell r="K360">
            <v>0.42133876479999999</v>
          </cell>
          <cell r="L360">
            <v>0.42133876479999999</v>
          </cell>
          <cell r="M360">
            <v>0.42133876479999999</v>
          </cell>
          <cell r="N360">
            <v>0.42133876479999999</v>
          </cell>
          <cell r="P360">
            <v>0.40027182655999999</v>
          </cell>
          <cell r="Q360">
            <v>0.40027182655999999</v>
          </cell>
          <cell r="R360">
            <v>0.40027182655999999</v>
          </cell>
          <cell r="S360">
            <v>0.40027182655999999</v>
          </cell>
          <cell r="U360">
            <v>0.38025823523199997</v>
          </cell>
          <cell r="V360">
            <v>0.36124532347039995</v>
          </cell>
          <cell r="W360">
            <v>0.34318305729687992</v>
          </cell>
        </row>
        <row r="361">
          <cell r="A361" t="str">
            <v>Ufa</v>
          </cell>
          <cell r="C361">
            <v>0.42133876479999999</v>
          </cell>
          <cell r="D361">
            <v>0.42133876479999999</v>
          </cell>
          <cell r="E361">
            <v>0.42133876479999999</v>
          </cell>
          <cell r="F361">
            <v>0.42133876479999999</v>
          </cell>
          <cell r="G361">
            <v>0.42133876479999999</v>
          </cell>
          <cell r="H361">
            <v>0.42133876479999999</v>
          </cell>
          <cell r="I361">
            <v>0.42133876479999999</v>
          </cell>
          <cell r="J361">
            <v>0.42133876479999999</v>
          </cell>
          <cell r="K361">
            <v>0.42133876479999999</v>
          </cell>
          <cell r="L361">
            <v>0.42133876479999999</v>
          </cell>
          <cell r="M361">
            <v>0.42133876479999999</v>
          </cell>
          <cell r="N361">
            <v>0.42133876479999999</v>
          </cell>
          <cell r="P361">
            <v>0.40027182655999999</v>
          </cell>
          <cell r="Q361">
            <v>0.40027182655999999</v>
          </cell>
          <cell r="R361">
            <v>0.40027182655999999</v>
          </cell>
          <cell r="S361">
            <v>0.40027182655999999</v>
          </cell>
          <cell r="U361">
            <v>0.38025823523199997</v>
          </cell>
          <cell r="V361">
            <v>0.36124532347039995</v>
          </cell>
          <cell r="W361">
            <v>0.34318305729687992</v>
          </cell>
        </row>
        <row r="362">
          <cell r="A362" t="str">
            <v>Vla</v>
          </cell>
          <cell r="C362">
            <v>0.42133876479999999</v>
          </cell>
          <cell r="D362">
            <v>0.42133876479999999</v>
          </cell>
          <cell r="E362">
            <v>0.42133876479999999</v>
          </cell>
          <cell r="F362">
            <v>0.42133876479999999</v>
          </cell>
          <cell r="G362">
            <v>0.42133876479999999</v>
          </cell>
          <cell r="H362">
            <v>0.42133876479999999</v>
          </cell>
          <cell r="I362">
            <v>0.42133876479999999</v>
          </cell>
          <cell r="J362">
            <v>0.42133876479999999</v>
          </cell>
          <cell r="K362">
            <v>0.42133876479999999</v>
          </cell>
          <cell r="L362">
            <v>0.42133876479999999</v>
          </cell>
          <cell r="M362">
            <v>0.42133876479999999</v>
          </cell>
          <cell r="N362">
            <v>0.42133876479999999</v>
          </cell>
          <cell r="P362">
            <v>0.40027182655999999</v>
          </cell>
          <cell r="Q362">
            <v>0.40027182655999999</v>
          </cell>
          <cell r="R362">
            <v>0.40027182655999999</v>
          </cell>
          <cell r="S362">
            <v>0.40027182655999999</v>
          </cell>
          <cell r="U362">
            <v>0.38025823523199997</v>
          </cell>
          <cell r="V362">
            <v>0.36124532347039995</v>
          </cell>
          <cell r="W362">
            <v>0.34318305729687992</v>
          </cell>
        </row>
        <row r="363">
          <cell r="A363" t="str">
            <v>Vol</v>
          </cell>
          <cell r="C363">
            <v>0.42133876479999999</v>
          </cell>
          <cell r="D363">
            <v>0.42133876479999999</v>
          </cell>
          <cell r="E363">
            <v>0.42133876479999999</v>
          </cell>
          <cell r="F363">
            <v>0.42133876479999999</v>
          </cell>
          <cell r="G363">
            <v>0.42133876479999999</v>
          </cell>
          <cell r="H363">
            <v>0.42133876479999999</v>
          </cell>
          <cell r="I363">
            <v>0.42133876479999999</v>
          </cell>
          <cell r="J363">
            <v>0.42133876479999999</v>
          </cell>
          <cell r="K363">
            <v>0.42133876479999999</v>
          </cell>
          <cell r="L363">
            <v>0.42133876479999999</v>
          </cell>
          <cell r="M363">
            <v>0.42133876479999999</v>
          </cell>
          <cell r="N363">
            <v>0.42133876479999999</v>
          </cell>
          <cell r="P363">
            <v>0.40027182655999999</v>
          </cell>
          <cell r="Q363">
            <v>0.40027182655999999</v>
          </cell>
          <cell r="R363">
            <v>0.40027182655999999</v>
          </cell>
          <cell r="S363">
            <v>0.40027182655999999</v>
          </cell>
          <cell r="U363">
            <v>0.38025823523199997</v>
          </cell>
          <cell r="V363">
            <v>0.36124532347039995</v>
          </cell>
          <cell r="W363">
            <v>0.34318305729687992</v>
          </cell>
        </row>
        <row r="364">
          <cell r="A364" t="str">
            <v>Vor</v>
          </cell>
          <cell r="C364">
            <v>0.42133876479999999</v>
          </cell>
          <cell r="D364">
            <v>0.42133876479999999</v>
          </cell>
          <cell r="E364">
            <v>0.42133876479999999</v>
          </cell>
          <cell r="F364">
            <v>0.42133876479999999</v>
          </cell>
          <cell r="G364">
            <v>0.42133876479999999</v>
          </cell>
          <cell r="H364">
            <v>0.42133876479999999</v>
          </cell>
          <cell r="I364">
            <v>0.42133876479999999</v>
          </cell>
          <cell r="J364">
            <v>0.42133876479999999</v>
          </cell>
          <cell r="K364">
            <v>0.42133876479999999</v>
          </cell>
          <cell r="L364">
            <v>0.42133876479999999</v>
          </cell>
          <cell r="M364">
            <v>0.42133876479999999</v>
          </cell>
          <cell r="N364">
            <v>0.42133876479999999</v>
          </cell>
          <cell r="P364">
            <v>0.40027182655999999</v>
          </cell>
          <cell r="Q364">
            <v>0.40027182655999999</v>
          </cell>
          <cell r="R364">
            <v>0.40027182655999999</v>
          </cell>
          <cell r="S364">
            <v>0.40027182655999999</v>
          </cell>
          <cell r="U364">
            <v>0.38025823523199997</v>
          </cell>
          <cell r="V364">
            <v>0.36124532347039995</v>
          </cell>
          <cell r="W364">
            <v>0.34318305729687992</v>
          </cell>
        </row>
        <row r="365">
          <cell r="A365" t="str">
            <v>97#1</v>
          </cell>
          <cell r="C365">
            <v>0.42133876479999999</v>
          </cell>
          <cell r="D365">
            <v>0.42133876479999999</v>
          </cell>
          <cell r="E365">
            <v>0.42133876479999999</v>
          </cell>
          <cell r="F365">
            <v>0.42133876479999999</v>
          </cell>
          <cell r="G365">
            <v>0.42133876479999999</v>
          </cell>
          <cell r="H365">
            <v>0.42133876479999999</v>
          </cell>
          <cell r="I365">
            <v>0.42133876479999999</v>
          </cell>
          <cell r="J365">
            <v>0.42133876479999999</v>
          </cell>
          <cell r="K365">
            <v>0.42133876479999999</v>
          </cell>
          <cell r="L365">
            <v>0.42133876479999999</v>
          </cell>
          <cell r="M365">
            <v>0.42133876479999999</v>
          </cell>
          <cell r="N365">
            <v>0.42133876479999999</v>
          </cell>
          <cell r="P365">
            <v>0.40027182655999999</v>
          </cell>
          <cell r="Q365">
            <v>0.40027182655999999</v>
          </cell>
          <cell r="R365">
            <v>0.40027182655999999</v>
          </cell>
          <cell r="S365">
            <v>0.40027182655999999</v>
          </cell>
          <cell r="U365">
            <v>0.38025823523199997</v>
          </cell>
          <cell r="V365">
            <v>0.36124532347039995</v>
          </cell>
          <cell r="W365">
            <v>0.34318305729687992</v>
          </cell>
        </row>
        <row r="366">
          <cell r="A366" t="str">
            <v>97#2</v>
          </cell>
          <cell r="C366">
            <v>0.42133876479999999</v>
          </cell>
          <cell r="D366">
            <v>0.42133876479999999</v>
          </cell>
          <cell r="E366">
            <v>0.42133876479999999</v>
          </cell>
          <cell r="F366">
            <v>0.42133876479999999</v>
          </cell>
          <cell r="G366">
            <v>0.42133876479999999</v>
          </cell>
          <cell r="H366">
            <v>0.42133876479999999</v>
          </cell>
          <cell r="I366">
            <v>0.42133876479999999</v>
          </cell>
          <cell r="J366">
            <v>0.42133876479999999</v>
          </cell>
          <cell r="K366">
            <v>0.42133876479999999</v>
          </cell>
          <cell r="L366">
            <v>0.42133876479999999</v>
          </cell>
          <cell r="M366">
            <v>0.42133876479999999</v>
          </cell>
          <cell r="N366">
            <v>0.42133876479999999</v>
          </cell>
          <cell r="P366">
            <v>0.40027182655999999</v>
          </cell>
          <cell r="Q366">
            <v>0.40027182655999999</v>
          </cell>
          <cell r="R366">
            <v>0.40027182655999999</v>
          </cell>
          <cell r="S366">
            <v>0.40027182655999999</v>
          </cell>
          <cell r="U366">
            <v>0.38025823523199997</v>
          </cell>
          <cell r="V366">
            <v>0.36124532347039995</v>
          </cell>
          <cell r="W366">
            <v>0.34318305729687992</v>
          </cell>
        </row>
        <row r="367">
          <cell r="A367" t="str">
            <v>98#1</v>
          </cell>
          <cell r="C367">
            <v>0.42133876479999999</v>
          </cell>
          <cell r="D367">
            <v>0.42133876479999999</v>
          </cell>
          <cell r="E367">
            <v>0.42133876479999999</v>
          </cell>
          <cell r="F367">
            <v>0.42133876479999999</v>
          </cell>
          <cell r="G367">
            <v>0.42133876479999999</v>
          </cell>
          <cell r="H367">
            <v>0.42133876479999999</v>
          </cell>
          <cell r="I367">
            <v>0.42133876479999999</v>
          </cell>
          <cell r="J367">
            <v>0.42133876479999999</v>
          </cell>
          <cell r="K367">
            <v>0.42133876479999999</v>
          </cell>
          <cell r="L367">
            <v>0.42133876479999999</v>
          </cell>
          <cell r="M367">
            <v>0.42133876479999999</v>
          </cell>
          <cell r="N367">
            <v>0.42133876479999999</v>
          </cell>
          <cell r="P367">
            <v>0.40027182655999999</v>
          </cell>
          <cell r="Q367">
            <v>0.40027182655999999</v>
          </cell>
          <cell r="R367">
            <v>0.40027182655999999</v>
          </cell>
          <cell r="S367">
            <v>0.40027182655999999</v>
          </cell>
          <cell r="U367">
            <v>0.38025823523199997</v>
          </cell>
          <cell r="V367">
            <v>0.36124532347039995</v>
          </cell>
          <cell r="W367">
            <v>0.34318305729687992</v>
          </cell>
        </row>
        <row r="368">
          <cell r="A368" t="str">
            <v>98#2</v>
          </cell>
          <cell r="C368">
            <v>0.42133876479999999</v>
          </cell>
          <cell r="D368">
            <v>0.42133876479999999</v>
          </cell>
          <cell r="E368">
            <v>0.42133876479999999</v>
          </cell>
          <cell r="F368">
            <v>0.42133876479999999</v>
          </cell>
          <cell r="G368">
            <v>0.42133876479999999</v>
          </cell>
          <cell r="H368">
            <v>0.42133876479999999</v>
          </cell>
          <cell r="I368">
            <v>0.42133876479999999</v>
          </cell>
          <cell r="J368">
            <v>0.42133876479999999</v>
          </cell>
          <cell r="K368">
            <v>0.42133876479999999</v>
          </cell>
          <cell r="L368">
            <v>0.42133876479999999</v>
          </cell>
          <cell r="M368">
            <v>0.42133876479999999</v>
          </cell>
          <cell r="N368">
            <v>0.42133876479999999</v>
          </cell>
          <cell r="P368">
            <v>0.40027182655999999</v>
          </cell>
          <cell r="Q368">
            <v>0.40027182655999999</v>
          </cell>
          <cell r="R368">
            <v>0.40027182655999999</v>
          </cell>
          <cell r="S368">
            <v>0.40027182655999999</v>
          </cell>
          <cell r="U368">
            <v>0.38025823523199997</v>
          </cell>
          <cell r="V368">
            <v>0.36124532347039995</v>
          </cell>
          <cell r="W368">
            <v>0.34318305729687992</v>
          </cell>
        </row>
        <row r="369">
          <cell r="A369" t="str">
            <v>Mos</v>
          </cell>
        </row>
        <row r="370">
          <cell r="A370" t="str">
            <v>Con</v>
          </cell>
          <cell r="C370">
            <v>1.8</v>
          </cell>
          <cell r="D370">
            <v>1.8</v>
          </cell>
          <cell r="E370">
            <v>1.8</v>
          </cell>
          <cell r="F370">
            <v>1.8</v>
          </cell>
          <cell r="G370">
            <v>1.8</v>
          </cell>
          <cell r="H370">
            <v>1.8</v>
          </cell>
          <cell r="I370">
            <v>1.8</v>
          </cell>
          <cell r="J370">
            <v>1.8</v>
          </cell>
          <cell r="K370">
            <v>1.8</v>
          </cell>
          <cell r="L370">
            <v>1.8</v>
          </cell>
          <cell r="M370">
            <v>1.8</v>
          </cell>
          <cell r="N370">
            <v>1.8</v>
          </cell>
          <cell r="P370">
            <v>1.71</v>
          </cell>
          <cell r="Q370">
            <v>1.71</v>
          </cell>
          <cell r="R370">
            <v>1.71</v>
          </cell>
          <cell r="S370">
            <v>1.71</v>
          </cell>
          <cell r="U370">
            <v>1.6244999999999998</v>
          </cell>
          <cell r="V370">
            <v>1.5432749999999997</v>
          </cell>
          <cell r="W370">
            <v>1.4661112499999998</v>
          </cell>
        </row>
        <row r="372">
          <cell r="A372" t="str">
            <v>WAC Number of new cards</v>
          </cell>
          <cell r="D372">
            <v>5</v>
          </cell>
        </row>
        <row r="373">
          <cell r="B373">
            <v>35765</v>
          </cell>
          <cell r="C373">
            <v>35796</v>
          </cell>
          <cell r="D373">
            <v>35827</v>
          </cell>
          <cell r="E373">
            <v>35855</v>
          </cell>
          <cell r="F373">
            <v>35886</v>
          </cell>
          <cell r="G373">
            <v>35916</v>
          </cell>
          <cell r="H373">
            <v>35947</v>
          </cell>
          <cell r="I373">
            <v>35977</v>
          </cell>
          <cell r="J373">
            <v>36008</v>
          </cell>
          <cell r="K373">
            <v>36039</v>
          </cell>
          <cell r="L373">
            <v>36069</v>
          </cell>
          <cell r="M373">
            <v>36100</v>
          </cell>
          <cell r="N373">
            <v>36130</v>
          </cell>
          <cell r="O373" t="str">
            <v>Total 98</v>
          </cell>
          <cell r="P373" t="str">
            <v>Q1-99</v>
          </cell>
          <cell r="Q373" t="str">
            <v>Q2-99</v>
          </cell>
          <cell r="R373" t="str">
            <v>Q3-99</v>
          </cell>
          <cell r="S373" t="str">
            <v>Q4-99</v>
          </cell>
          <cell r="T373" t="str">
            <v>Total 99</v>
          </cell>
          <cell r="U373">
            <v>2000</v>
          </cell>
          <cell r="V373">
            <v>2001</v>
          </cell>
          <cell r="W373">
            <v>2002</v>
          </cell>
        </row>
        <row r="374">
          <cell r="A374" t="str">
            <v>Ark</v>
          </cell>
          <cell r="B374">
            <v>100</v>
          </cell>
          <cell r="C374">
            <v>5</v>
          </cell>
          <cell r="D374">
            <v>5</v>
          </cell>
          <cell r="E374">
            <v>10</v>
          </cell>
          <cell r="F374">
            <v>10</v>
          </cell>
          <cell r="G374">
            <v>5</v>
          </cell>
          <cell r="H374">
            <v>10</v>
          </cell>
          <cell r="I374">
            <v>5</v>
          </cell>
          <cell r="J374">
            <v>5</v>
          </cell>
          <cell r="K374">
            <v>10</v>
          </cell>
          <cell r="L374">
            <v>10</v>
          </cell>
          <cell r="M374">
            <v>10</v>
          </cell>
          <cell r="N374">
            <v>10</v>
          </cell>
          <cell r="O374">
            <v>95</v>
          </cell>
          <cell r="P374">
            <v>31.5</v>
          </cell>
          <cell r="Q374">
            <v>34.650000000000006</v>
          </cell>
          <cell r="R374">
            <v>38.115000000000009</v>
          </cell>
          <cell r="S374">
            <v>41.926500000000011</v>
          </cell>
          <cell r="T374">
            <v>146.19150000000002</v>
          </cell>
          <cell r="U374">
            <v>160.81065000000004</v>
          </cell>
          <cell r="V374">
            <v>173.67550200000005</v>
          </cell>
          <cell r="W374">
            <v>173.67550200000005</v>
          </cell>
        </row>
        <row r="375">
          <cell r="A375" t="str">
            <v>Eka</v>
          </cell>
          <cell r="B375">
            <v>210</v>
          </cell>
          <cell r="C375">
            <v>25</v>
          </cell>
          <cell r="D375">
            <v>25</v>
          </cell>
          <cell r="E375">
            <v>30</v>
          </cell>
          <cell r="F375">
            <v>25</v>
          </cell>
          <cell r="G375">
            <v>25</v>
          </cell>
          <cell r="H375">
            <v>30</v>
          </cell>
          <cell r="I375">
            <v>30</v>
          </cell>
          <cell r="J375">
            <v>30</v>
          </cell>
          <cell r="K375">
            <v>30</v>
          </cell>
          <cell r="L375">
            <v>40</v>
          </cell>
          <cell r="M375">
            <v>40</v>
          </cell>
          <cell r="N375">
            <v>30</v>
          </cell>
          <cell r="O375">
            <v>360</v>
          </cell>
          <cell r="P375">
            <v>126</v>
          </cell>
          <cell r="Q375">
            <v>138.60000000000002</v>
          </cell>
          <cell r="R375">
            <v>152.46000000000004</v>
          </cell>
          <cell r="S375">
            <v>167.70600000000005</v>
          </cell>
          <cell r="T375">
            <v>584.76600000000008</v>
          </cell>
          <cell r="U375">
            <v>643.24260000000015</v>
          </cell>
          <cell r="V375">
            <v>694.70200800000021</v>
          </cell>
          <cell r="W375">
            <v>694.70200800000021</v>
          </cell>
        </row>
        <row r="376">
          <cell r="A376" t="str">
            <v>Irk</v>
          </cell>
          <cell r="B376">
            <v>369</v>
          </cell>
          <cell r="C376">
            <v>50</v>
          </cell>
          <cell r="D376">
            <v>50</v>
          </cell>
          <cell r="E376">
            <v>50</v>
          </cell>
          <cell r="F376">
            <v>50</v>
          </cell>
          <cell r="G376">
            <v>45</v>
          </cell>
          <cell r="H376">
            <v>40</v>
          </cell>
          <cell r="I376">
            <v>40</v>
          </cell>
          <cell r="J376">
            <v>40</v>
          </cell>
          <cell r="K376">
            <v>60</v>
          </cell>
          <cell r="L376">
            <v>60</v>
          </cell>
          <cell r="M376">
            <v>60</v>
          </cell>
          <cell r="N376">
            <v>60</v>
          </cell>
          <cell r="O376">
            <v>605</v>
          </cell>
          <cell r="P376">
            <v>189</v>
          </cell>
          <cell r="Q376">
            <v>207.9</v>
          </cell>
          <cell r="R376">
            <v>228.69000000000003</v>
          </cell>
          <cell r="S376">
            <v>251.55900000000005</v>
          </cell>
          <cell r="T376">
            <v>877.14900000000011</v>
          </cell>
          <cell r="U376">
            <v>964.86390000000017</v>
          </cell>
          <cell r="V376">
            <v>1042.0530120000003</v>
          </cell>
          <cell r="W376">
            <v>1042.0530120000003</v>
          </cell>
        </row>
        <row r="377">
          <cell r="A377" t="str">
            <v>Kha</v>
          </cell>
          <cell r="B377">
            <v>165</v>
          </cell>
          <cell r="C377">
            <v>30</v>
          </cell>
          <cell r="D377">
            <v>30</v>
          </cell>
          <cell r="E377">
            <v>40</v>
          </cell>
          <cell r="F377">
            <v>35</v>
          </cell>
          <cell r="G377">
            <v>30</v>
          </cell>
          <cell r="H377">
            <v>30</v>
          </cell>
          <cell r="I377">
            <v>25</v>
          </cell>
          <cell r="J377">
            <v>25</v>
          </cell>
          <cell r="K377">
            <v>35</v>
          </cell>
          <cell r="L377">
            <v>35</v>
          </cell>
          <cell r="M377">
            <v>35</v>
          </cell>
          <cell r="N377">
            <v>30</v>
          </cell>
          <cell r="O377">
            <v>380</v>
          </cell>
          <cell r="P377">
            <v>110.25</v>
          </cell>
          <cell r="Q377">
            <v>121.27500000000001</v>
          </cell>
          <cell r="R377">
            <v>133.4025</v>
          </cell>
          <cell r="S377">
            <v>146.74275000000003</v>
          </cell>
          <cell r="T377">
            <v>511.67025000000001</v>
          </cell>
          <cell r="U377">
            <v>562.83727500000009</v>
          </cell>
          <cell r="V377">
            <v>607.86425700000018</v>
          </cell>
          <cell r="W377">
            <v>607.86425700000018</v>
          </cell>
        </row>
        <row r="378">
          <cell r="A378" t="str">
            <v>Kra</v>
          </cell>
          <cell r="B378">
            <v>280</v>
          </cell>
          <cell r="C378">
            <v>30</v>
          </cell>
          <cell r="D378">
            <v>30</v>
          </cell>
          <cell r="E378">
            <v>35</v>
          </cell>
          <cell r="F378">
            <v>40</v>
          </cell>
          <cell r="G378">
            <v>35</v>
          </cell>
          <cell r="H378">
            <v>30</v>
          </cell>
          <cell r="I378">
            <v>30</v>
          </cell>
          <cell r="J378">
            <v>30</v>
          </cell>
          <cell r="K378">
            <v>35</v>
          </cell>
          <cell r="L378">
            <v>40</v>
          </cell>
          <cell r="M378">
            <v>40</v>
          </cell>
          <cell r="N378">
            <v>30</v>
          </cell>
          <cell r="O378">
            <v>405</v>
          </cell>
          <cell r="P378">
            <v>126</v>
          </cell>
          <cell r="Q378">
            <v>138.60000000000002</v>
          </cell>
          <cell r="R378">
            <v>152.46000000000004</v>
          </cell>
          <cell r="S378">
            <v>167.70600000000005</v>
          </cell>
          <cell r="T378">
            <v>584.76600000000008</v>
          </cell>
          <cell r="U378">
            <v>643.24260000000015</v>
          </cell>
          <cell r="V378">
            <v>694.70200800000021</v>
          </cell>
          <cell r="W378">
            <v>694.70200800000021</v>
          </cell>
        </row>
        <row r="379">
          <cell r="A379" t="str">
            <v>Niz</v>
          </cell>
          <cell r="B379">
            <v>60</v>
          </cell>
          <cell r="C379">
            <v>5</v>
          </cell>
          <cell r="D379">
            <v>10</v>
          </cell>
          <cell r="E379">
            <v>15</v>
          </cell>
          <cell r="F379">
            <v>15</v>
          </cell>
          <cell r="G379">
            <v>10</v>
          </cell>
          <cell r="H379">
            <v>10</v>
          </cell>
          <cell r="I379">
            <v>5</v>
          </cell>
          <cell r="J379">
            <v>5</v>
          </cell>
          <cell r="K379">
            <v>15</v>
          </cell>
          <cell r="L379">
            <v>15</v>
          </cell>
          <cell r="M379">
            <v>15</v>
          </cell>
          <cell r="N379">
            <v>5</v>
          </cell>
          <cell r="O379">
            <v>125</v>
          </cell>
          <cell r="P379">
            <v>47.25</v>
          </cell>
          <cell r="Q379">
            <v>51.975000000000001</v>
          </cell>
          <cell r="R379">
            <v>57.172500000000007</v>
          </cell>
          <cell r="S379">
            <v>62.889750000000014</v>
          </cell>
          <cell r="T379">
            <v>219.28725000000003</v>
          </cell>
          <cell r="U379">
            <v>241.21597500000004</v>
          </cell>
          <cell r="V379">
            <v>260.51325300000008</v>
          </cell>
          <cell r="W379">
            <v>260.51325300000008</v>
          </cell>
        </row>
        <row r="380">
          <cell r="A380" t="str">
            <v>Nov</v>
          </cell>
          <cell r="B380">
            <v>1322</v>
          </cell>
          <cell r="C380">
            <v>60</v>
          </cell>
          <cell r="D380">
            <v>60</v>
          </cell>
          <cell r="E380">
            <v>60</v>
          </cell>
          <cell r="F380">
            <v>60</v>
          </cell>
          <cell r="G380">
            <v>60</v>
          </cell>
          <cell r="H380">
            <v>60</v>
          </cell>
          <cell r="I380">
            <v>60</v>
          </cell>
          <cell r="J380">
            <v>60</v>
          </cell>
          <cell r="K380">
            <v>60</v>
          </cell>
          <cell r="L380">
            <v>60</v>
          </cell>
          <cell r="M380">
            <v>60</v>
          </cell>
          <cell r="N380">
            <v>60</v>
          </cell>
          <cell r="O380">
            <v>720</v>
          </cell>
          <cell r="P380">
            <v>189</v>
          </cell>
          <cell r="Q380">
            <v>207.9</v>
          </cell>
          <cell r="R380">
            <v>228.69000000000003</v>
          </cell>
          <cell r="S380">
            <v>251.55900000000005</v>
          </cell>
          <cell r="T380">
            <v>877.14900000000011</v>
          </cell>
          <cell r="U380">
            <v>964.86390000000017</v>
          </cell>
          <cell r="V380">
            <v>1042.0530120000003</v>
          </cell>
          <cell r="W380">
            <v>1042.0530120000003</v>
          </cell>
        </row>
        <row r="381">
          <cell r="A381" t="str">
            <v>Syk</v>
          </cell>
          <cell r="B381">
            <v>474</v>
          </cell>
          <cell r="C381">
            <v>40</v>
          </cell>
          <cell r="D381">
            <v>40</v>
          </cell>
          <cell r="E381">
            <v>45</v>
          </cell>
          <cell r="F381">
            <v>45</v>
          </cell>
          <cell r="G381">
            <v>40</v>
          </cell>
          <cell r="H381">
            <v>40</v>
          </cell>
          <cell r="I381">
            <v>40</v>
          </cell>
          <cell r="J381">
            <v>40</v>
          </cell>
          <cell r="K381">
            <v>45</v>
          </cell>
          <cell r="L381">
            <v>50</v>
          </cell>
          <cell r="M381">
            <v>50</v>
          </cell>
          <cell r="N381">
            <v>40</v>
          </cell>
          <cell r="O381">
            <v>515</v>
          </cell>
          <cell r="P381">
            <v>157.5</v>
          </cell>
          <cell r="Q381">
            <v>173.25</v>
          </cell>
          <cell r="R381">
            <v>190.57500000000002</v>
          </cell>
          <cell r="S381">
            <v>209.63250000000002</v>
          </cell>
          <cell r="T381">
            <v>730.9575000000001</v>
          </cell>
          <cell r="U381">
            <v>804.05325000000016</v>
          </cell>
          <cell r="V381">
            <v>868.37751000000026</v>
          </cell>
          <cell r="W381">
            <v>868.37751000000026</v>
          </cell>
        </row>
        <row r="382">
          <cell r="A382" t="str">
            <v>Tyu</v>
          </cell>
          <cell r="B382">
            <v>424</v>
          </cell>
          <cell r="C382">
            <v>60</v>
          </cell>
          <cell r="D382">
            <v>60</v>
          </cell>
          <cell r="E382">
            <v>60</v>
          </cell>
          <cell r="F382">
            <v>60</v>
          </cell>
          <cell r="G382">
            <v>60</v>
          </cell>
          <cell r="H382">
            <v>60</v>
          </cell>
          <cell r="I382">
            <v>60</v>
          </cell>
          <cell r="J382">
            <v>60</v>
          </cell>
          <cell r="K382">
            <v>60</v>
          </cell>
          <cell r="L382">
            <v>60</v>
          </cell>
          <cell r="M382">
            <v>60</v>
          </cell>
          <cell r="N382">
            <v>60</v>
          </cell>
          <cell r="O382">
            <v>720</v>
          </cell>
          <cell r="P382">
            <v>189</v>
          </cell>
          <cell r="Q382">
            <v>207.9</v>
          </cell>
          <cell r="R382">
            <v>228.69000000000003</v>
          </cell>
          <cell r="S382">
            <v>251.55900000000005</v>
          </cell>
          <cell r="T382">
            <v>877.14900000000011</v>
          </cell>
          <cell r="U382">
            <v>964.86390000000017</v>
          </cell>
          <cell r="V382">
            <v>1042.0530120000003</v>
          </cell>
          <cell r="W382">
            <v>1042.0530120000003</v>
          </cell>
        </row>
        <row r="383">
          <cell r="A383" t="str">
            <v>Ufa</v>
          </cell>
          <cell r="B383">
            <v>451</v>
          </cell>
          <cell r="C383">
            <v>40</v>
          </cell>
          <cell r="D383">
            <v>40</v>
          </cell>
          <cell r="E383">
            <v>40</v>
          </cell>
          <cell r="F383">
            <v>40</v>
          </cell>
          <cell r="G383">
            <v>40</v>
          </cell>
          <cell r="H383">
            <v>40</v>
          </cell>
          <cell r="I383">
            <v>40</v>
          </cell>
          <cell r="J383">
            <v>40</v>
          </cell>
          <cell r="K383">
            <v>40</v>
          </cell>
          <cell r="L383">
            <v>40</v>
          </cell>
          <cell r="M383">
            <v>40</v>
          </cell>
          <cell r="N383">
            <v>40</v>
          </cell>
          <cell r="O383">
            <v>480</v>
          </cell>
          <cell r="P383">
            <v>126</v>
          </cell>
          <cell r="Q383">
            <v>138.60000000000002</v>
          </cell>
          <cell r="R383">
            <v>152.46000000000004</v>
          </cell>
          <cell r="S383">
            <v>167.70600000000005</v>
          </cell>
          <cell r="T383">
            <v>584.76600000000008</v>
          </cell>
          <cell r="U383">
            <v>643.24260000000015</v>
          </cell>
          <cell r="V383">
            <v>694.70200800000021</v>
          </cell>
          <cell r="W383">
            <v>694.70200800000021</v>
          </cell>
        </row>
        <row r="384">
          <cell r="A384" t="str">
            <v>Vla</v>
          </cell>
          <cell r="B384">
            <v>581</v>
          </cell>
          <cell r="C384">
            <v>45</v>
          </cell>
          <cell r="D384">
            <v>45</v>
          </cell>
          <cell r="E384">
            <v>45</v>
          </cell>
          <cell r="F384">
            <v>45</v>
          </cell>
          <cell r="G384">
            <v>35</v>
          </cell>
          <cell r="H384">
            <v>35</v>
          </cell>
          <cell r="I384">
            <v>35</v>
          </cell>
          <cell r="J384">
            <v>35</v>
          </cell>
          <cell r="K384">
            <v>55</v>
          </cell>
          <cell r="L384">
            <v>55</v>
          </cell>
          <cell r="M384">
            <v>55</v>
          </cell>
          <cell r="N384">
            <v>55</v>
          </cell>
          <cell r="O384">
            <v>540</v>
          </cell>
          <cell r="P384">
            <v>173.25</v>
          </cell>
          <cell r="Q384">
            <v>190.57500000000002</v>
          </cell>
          <cell r="R384">
            <v>209.63250000000002</v>
          </cell>
          <cell r="S384">
            <v>230.59575000000004</v>
          </cell>
          <cell r="T384">
            <v>804.05325000000016</v>
          </cell>
          <cell r="U384">
            <v>884.45857500000022</v>
          </cell>
          <cell r="V384">
            <v>955.21526100000028</v>
          </cell>
          <cell r="W384">
            <v>955.21526100000028</v>
          </cell>
        </row>
        <row r="385">
          <cell r="A385" t="str">
            <v>Vol</v>
          </cell>
          <cell r="B385">
            <v>60</v>
          </cell>
          <cell r="C385">
            <v>25</v>
          </cell>
          <cell r="D385">
            <v>25</v>
          </cell>
          <cell r="E385">
            <v>30</v>
          </cell>
          <cell r="F385">
            <v>30</v>
          </cell>
          <cell r="G385">
            <v>25</v>
          </cell>
          <cell r="H385">
            <v>30</v>
          </cell>
          <cell r="I385">
            <v>25</v>
          </cell>
          <cell r="J385">
            <v>25</v>
          </cell>
          <cell r="K385">
            <v>30</v>
          </cell>
          <cell r="L385">
            <v>30</v>
          </cell>
          <cell r="M385">
            <v>30</v>
          </cell>
          <cell r="N385">
            <v>30</v>
          </cell>
          <cell r="O385">
            <v>335</v>
          </cell>
          <cell r="P385">
            <v>94.5</v>
          </cell>
          <cell r="Q385">
            <v>103.95</v>
          </cell>
          <cell r="R385">
            <v>114.34500000000001</v>
          </cell>
          <cell r="S385">
            <v>125.77950000000003</v>
          </cell>
          <cell r="T385">
            <v>438.57450000000006</v>
          </cell>
          <cell r="U385">
            <v>482.43195000000009</v>
          </cell>
          <cell r="V385">
            <v>521.02650600000015</v>
          </cell>
          <cell r="W385">
            <v>521.02650600000015</v>
          </cell>
        </row>
        <row r="386">
          <cell r="A386" t="str">
            <v>Vor</v>
          </cell>
          <cell r="B386">
            <v>60</v>
          </cell>
          <cell r="C386">
            <v>20</v>
          </cell>
          <cell r="D386">
            <v>25</v>
          </cell>
          <cell r="E386">
            <v>30</v>
          </cell>
          <cell r="F386">
            <v>30</v>
          </cell>
          <cell r="G386">
            <v>25</v>
          </cell>
          <cell r="H386">
            <v>20</v>
          </cell>
          <cell r="I386">
            <v>20</v>
          </cell>
          <cell r="J386">
            <v>25</v>
          </cell>
          <cell r="K386">
            <v>25</v>
          </cell>
          <cell r="L386">
            <v>30</v>
          </cell>
          <cell r="M386">
            <v>25</v>
          </cell>
          <cell r="N386">
            <v>20</v>
          </cell>
          <cell r="O386">
            <v>295</v>
          </cell>
          <cell r="P386">
            <v>78.75</v>
          </cell>
          <cell r="Q386">
            <v>86.625</v>
          </cell>
          <cell r="R386">
            <v>95.287500000000009</v>
          </cell>
          <cell r="S386">
            <v>104.81625000000001</v>
          </cell>
          <cell r="T386">
            <v>365.47875000000005</v>
          </cell>
          <cell r="U386">
            <v>402.02662500000008</v>
          </cell>
          <cell r="V386">
            <v>434.18875500000013</v>
          </cell>
          <cell r="W386">
            <v>434.18875500000013</v>
          </cell>
        </row>
        <row r="387">
          <cell r="A387" t="str">
            <v>97#1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6</v>
          </cell>
          <cell r="G387">
            <v>8</v>
          </cell>
          <cell r="H387">
            <v>10</v>
          </cell>
          <cell r="I387">
            <v>10</v>
          </cell>
          <cell r="J387">
            <v>12</v>
          </cell>
          <cell r="K387">
            <v>12</v>
          </cell>
          <cell r="L387">
            <v>14</v>
          </cell>
          <cell r="M387">
            <v>16</v>
          </cell>
          <cell r="N387">
            <v>18</v>
          </cell>
          <cell r="O387">
            <v>106</v>
          </cell>
          <cell r="P387">
            <v>47.25</v>
          </cell>
          <cell r="Q387">
            <v>51.975000000000001</v>
          </cell>
          <cell r="R387">
            <v>57.172500000000007</v>
          </cell>
          <cell r="S387">
            <v>62.889750000000014</v>
          </cell>
          <cell r="T387">
            <v>219.28725000000003</v>
          </cell>
          <cell r="U387">
            <v>241.21597500000004</v>
          </cell>
          <cell r="V387">
            <v>260.51325300000008</v>
          </cell>
          <cell r="W387">
            <v>260.51325300000008</v>
          </cell>
        </row>
        <row r="388">
          <cell r="A388" t="str">
            <v>97#2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10</v>
          </cell>
          <cell r="G388">
            <v>5</v>
          </cell>
          <cell r="H388">
            <v>10</v>
          </cell>
          <cell r="I388">
            <v>5</v>
          </cell>
          <cell r="J388">
            <v>5</v>
          </cell>
          <cell r="K388">
            <v>10</v>
          </cell>
          <cell r="L388">
            <v>5</v>
          </cell>
          <cell r="M388">
            <v>5</v>
          </cell>
          <cell r="N388">
            <v>5</v>
          </cell>
          <cell r="O388">
            <v>60</v>
          </cell>
          <cell r="P388">
            <v>47.25</v>
          </cell>
          <cell r="Q388">
            <v>49.5</v>
          </cell>
          <cell r="R388">
            <v>49.5</v>
          </cell>
          <cell r="S388">
            <v>49.5</v>
          </cell>
          <cell r="T388">
            <v>195.75</v>
          </cell>
          <cell r="U388">
            <v>215.32500000000002</v>
          </cell>
          <cell r="V388">
            <v>232.55100000000004</v>
          </cell>
          <cell r="W388">
            <v>232.55100000000004</v>
          </cell>
        </row>
        <row r="389">
          <cell r="A389" t="str">
            <v>98#1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5</v>
          </cell>
          <cell r="J389">
            <v>5</v>
          </cell>
          <cell r="K389">
            <v>10</v>
          </cell>
          <cell r="L389">
            <v>8</v>
          </cell>
          <cell r="M389">
            <v>10</v>
          </cell>
          <cell r="N389">
            <v>7</v>
          </cell>
          <cell r="O389">
            <v>45</v>
          </cell>
          <cell r="P389">
            <v>47.25</v>
          </cell>
          <cell r="Q389">
            <v>49.5</v>
          </cell>
          <cell r="R389">
            <v>49.5</v>
          </cell>
          <cell r="S389">
            <v>49.5</v>
          </cell>
          <cell r="T389">
            <v>195.75</v>
          </cell>
          <cell r="U389">
            <v>215.32500000000002</v>
          </cell>
          <cell r="V389">
            <v>232.55100000000004</v>
          </cell>
          <cell r="W389">
            <v>232.55100000000004</v>
          </cell>
        </row>
        <row r="390">
          <cell r="A390" t="str">
            <v>98#2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5</v>
          </cell>
          <cell r="M390">
            <v>5</v>
          </cell>
          <cell r="N390">
            <v>5</v>
          </cell>
          <cell r="O390">
            <v>15</v>
          </cell>
          <cell r="P390">
            <v>47.25</v>
          </cell>
          <cell r="Q390">
            <v>49.5</v>
          </cell>
          <cell r="R390">
            <v>49.5</v>
          </cell>
          <cell r="S390">
            <v>49.5</v>
          </cell>
          <cell r="T390">
            <v>195.75</v>
          </cell>
          <cell r="U390">
            <v>215.32500000000002</v>
          </cell>
          <cell r="V390">
            <v>232.55100000000004</v>
          </cell>
          <cell r="W390">
            <v>232.55100000000004</v>
          </cell>
        </row>
        <row r="391">
          <cell r="A391" t="str">
            <v>Mos</v>
          </cell>
          <cell r="B391">
            <v>950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T391">
            <v>0</v>
          </cell>
        </row>
        <row r="392">
          <cell r="A392" t="str">
            <v>Con</v>
          </cell>
          <cell r="B392">
            <v>5506</v>
          </cell>
          <cell r="C392">
            <v>435</v>
          </cell>
          <cell r="D392">
            <v>445</v>
          </cell>
          <cell r="E392">
            <v>490</v>
          </cell>
          <cell r="F392">
            <v>501</v>
          </cell>
          <cell r="G392">
            <v>448</v>
          </cell>
          <cell r="H392">
            <v>455</v>
          </cell>
          <cell r="I392">
            <v>435</v>
          </cell>
          <cell r="J392">
            <v>442</v>
          </cell>
          <cell r="K392">
            <v>532</v>
          </cell>
          <cell r="L392">
            <v>557</v>
          </cell>
          <cell r="M392">
            <v>556</v>
          </cell>
          <cell r="N392">
            <v>505</v>
          </cell>
          <cell r="O392">
            <v>5801</v>
          </cell>
          <cell r="P392">
            <v>1827</v>
          </cell>
          <cell r="Q392">
            <v>2002.2750000000001</v>
          </cell>
          <cell r="R392">
            <v>2187.6525000000001</v>
          </cell>
          <cell r="S392">
            <v>2391.5677499999997</v>
          </cell>
          <cell r="T392">
            <v>8408.4952499999999</v>
          </cell>
          <cell r="U392">
            <v>9249.3447750000032</v>
          </cell>
          <cell r="V392">
            <v>9989.2923570000021</v>
          </cell>
          <cell r="W392">
            <v>9989.2923570000021</v>
          </cell>
        </row>
        <row r="394">
          <cell r="A394" t="str">
            <v>WAC Registration fee</v>
          </cell>
        </row>
        <row r="395">
          <cell r="B395">
            <v>35765</v>
          </cell>
          <cell r="C395">
            <v>35796</v>
          </cell>
          <cell r="D395">
            <v>35827</v>
          </cell>
          <cell r="E395">
            <v>35855</v>
          </cell>
          <cell r="F395">
            <v>35886</v>
          </cell>
          <cell r="G395">
            <v>35916</v>
          </cell>
          <cell r="H395">
            <v>35947</v>
          </cell>
          <cell r="I395">
            <v>35977</v>
          </cell>
          <cell r="J395">
            <v>36008</v>
          </cell>
          <cell r="K395">
            <v>36039</v>
          </cell>
          <cell r="L395">
            <v>36069</v>
          </cell>
          <cell r="M395">
            <v>36100</v>
          </cell>
          <cell r="N395">
            <v>36130</v>
          </cell>
          <cell r="O395" t="str">
            <v>Total 98</v>
          </cell>
          <cell r="P395" t="str">
            <v>Q1-99</v>
          </cell>
          <cell r="Q395" t="str">
            <v>Q2-99</v>
          </cell>
          <cell r="R395" t="str">
            <v>Q3-99</v>
          </cell>
          <cell r="S395" t="str">
            <v>Q4-99</v>
          </cell>
          <cell r="T395" t="str">
            <v>Total 99</v>
          </cell>
          <cell r="U395">
            <v>2000</v>
          </cell>
          <cell r="V395">
            <v>2001</v>
          </cell>
          <cell r="W395">
            <v>2002</v>
          </cell>
        </row>
        <row r="396">
          <cell r="A396" t="str">
            <v>Ark</v>
          </cell>
          <cell r="C396">
            <v>5</v>
          </cell>
          <cell r="D396">
            <v>5</v>
          </cell>
          <cell r="E396">
            <v>5</v>
          </cell>
          <cell r="F396">
            <v>5</v>
          </cell>
          <cell r="G396">
            <v>5</v>
          </cell>
          <cell r="H396">
            <v>5</v>
          </cell>
          <cell r="I396">
            <v>5</v>
          </cell>
          <cell r="J396">
            <v>5</v>
          </cell>
          <cell r="K396">
            <v>5</v>
          </cell>
          <cell r="L396">
            <v>5</v>
          </cell>
          <cell r="M396">
            <v>5</v>
          </cell>
          <cell r="N396">
            <v>5</v>
          </cell>
          <cell r="P396">
            <v>4.5</v>
          </cell>
          <cell r="Q396">
            <v>4.5</v>
          </cell>
          <cell r="R396">
            <v>4.5</v>
          </cell>
          <cell r="S396">
            <v>4.5</v>
          </cell>
          <cell r="U396">
            <v>4.05</v>
          </cell>
          <cell r="V396">
            <v>3.645</v>
          </cell>
          <cell r="W396">
            <v>3.2805</v>
          </cell>
        </row>
        <row r="397">
          <cell r="A397" t="str">
            <v>Eka</v>
          </cell>
          <cell r="C397">
            <v>5</v>
          </cell>
          <cell r="D397">
            <v>5</v>
          </cell>
          <cell r="E397">
            <v>5</v>
          </cell>
          <cell r="F397">
            <v>5</v>
          </cell>
          <cell r="G397">
            <v>5</v>
          </cell>
          <cell r="H397">
            <v>5</v>
          </cell>
          <cell r="I397">
            <v>5</v>
          </cell>
          <cell r="J397">
            <v>5</v>
          </cell>
          <cell r="K397">
            <v>5</v>
          </cell>
          <cell r="L397">
            <v>5</v>
          </cell>
          <cell r="M397">
            <v>5</v>
          </cell>
          <cell r="N397">
            <v>5</v>
          </cell>
          <cell r="P397">
            <v>4.5</v>
          </cell>
          <cell r="Q397">
            <v>4.5</v>
          </cell>
          <cell r="R397">
            <v>4.5</v>
          </cell>
          <cell r="S397">
            <v>4.5</v>
          </cell>
          <cell r="U397">
            <v>4.05</v>
          </cell>
          <cell r="V397">
            <v>3.645</v>
          </cell>
          <cell r="W397">
            <v>3.2805</v>
          </cell>
        </row>
        <row r="398">
          <cell r="A398" t="str">
            <v>Irk</v>
          </cell>
          <cell r="C398">
            <v>5</v>
          </cell>
          <cell r="D398">
            <v>5</v>
          </cell>
          <cell r="E398">
            <v>5</v>
          </cell>
          <cell r="F398">
            <v>5</v>
          </cell>
          <cell r="G398">
            <v>5</v>
          </cell>
          <cell r="H398">
            <v>5</v>
          </cell>
          <cell r="I398">
            <v>5</v>
          </cell>
          <cell r="J398">
            <v>5</v>
          </cell>
          <cell r="K398">
            <v>5</v>
          </cell>
          <cell r="L398">
            <v>5</v>
          </cell>
          <cell r="M398">
            <v>5</v>
          </cell>
          <cell r="N398">
            <v>5</v>
          </cell>
          <cell r="P398">
            <v>4.5</v>
          </cell>
          <cell r="Q398">
            <v>4.5</v>
          </cell>
          <cell r="R398">
            <v>4.5</v>
          </cell>
          <cell r="S398">
            <v>4.5</v>
          </cell>
          <cell r="U398">
            <v>4.05</v>
          </cell>
          <cell r="V398">
            <v>3.645</v>
          </cell>
          <cell r="W398">
            <v>3.2805</v>
          </cell>
        </row>
        <row r="399">
          <cell r="A399" t="str">
            <v>Kha</v>
          </cell>
          <cell r="C399">
            <v>5</v>
          </cell>
          <cell r="D399">
            <v>5</v>
          </cell>
          <cell r="E399">
            <v>5</v>
          </cell>
          <cell r="F399">
            <v>5</v>
          </cell>
          <cell r="G399">
            <v>5</v>
          </cell>
          <cell r="H399">
            <v>5</v>
          </cell>
          <cell r="I399">
            <v>5</v>
          </cell>
          <cell r="J399">
            <v>5</v>
          </cell>
          <cell r="K399">
            <v>5</v>
          </cell>
          <cell r="L399">
            <v>5</v>
          </cell>
          <cell r="M399">
            <v>5</v>
          </cell>
          <cell r="N399">
            <v>5</v>
          </cell>
          <cell r="P399">
            <v>4.5</v>
          </cell>
          <cell r="Q399">
            <v>4.5</v>
          </cell>
          <cell r="R399">
            <v>4.5</v>
          </cell>
          <cell r="S399">
            <v>4.5</v>
          </cell>
          <cell r="U399">
            <v>4.05</v>
          </cell>
          <cell r="V399">
            <v>3.645</v>
          </cell>
          <cell r="W399">
            <v>3.2805</v>
          </cell>
        </row>
        <row r="400">
          <cell r="A400" t="str">
            <v>Kra</v>
          </cell>
          <cell r="C400">
            <v>5</v>
          </cell>
          <cell r="D400">
            <v>5</v>
          </cell>
          <cell r="E400">
            <v>5</v>
          </cell>
          <cell r="F400">
            <v>5</v>
          </cell>
          <cell r="G400">
            <v>5</v>
          </cell>
          <cell r="H400">
            <v>5</v>
          </cell>
          <cell r="I400">
            <v>5</v>
          </cell>
          <cell r="J400">
            <v>5</v>
          </cell>
          <cell r="K400">
            <v>5</v>
          </cell>
          <cell r="L400">
            <v>5</v>
          </cell>
          <cell r="M400">
            <v>5</v>
          </cell>
          <cell r="N400">
            <v>5</v>
          </cell>
          <cell r="P400">
            <v>4.5</v>
          </cell>
          <cell r="Q400">
            <v>4.5</v>
          </cell>
          <cell r="R400">
            <v>4.5</v>
          </cell>
          <cell r="S400">
            <v>4.5</v>
          </cell>
          <cell r="U400">
            <v>4.05</v>
          </cell>
          <cell r="V400">
            <v>3.645</v>
          </cell>
          <cell r="W400">
            <v>3.2805</v>
          </cell>
        </row>
        <row r="401">
          <cell r="A401" t="str">
            <v>Niz</v>
          </cell>
          <cell r="C401">
            <v>5</v>
          </cell>
          <cell r="D401">
            <v>5</v>
          </cell>
          <cell r="E401">
            <v>5</v>
          </cell>
          <cell r="F401">
            <v>5</v>
          </cell>
          <cell r="G401">
            <v>5</v>
          </cell>
          <cell r="H401">
            <v>5</v>
          </cell>
          <cell r="I401">
            <v>5</v>
          </cell>
          <cell r="J401">
            <v>5</v>
          </cell>
          <cell r="K401">
            <v>5</v>
          </cell>
          <cell r="L401">
            <v>5</v>
          </cell>
          <cell r="M401">
            <v>5</v>
          </cell>
          <cell r="N401">
            <v>5</v>
          </cell>
          <cell r="P401">
            <v>4.5</v>
          </cell>
          <cell r="Q401">
            <v>4.5</v>
          </cell>
          <cell r="R401">
            <v>4.5</v>
          </cell>
          <cell r="S401">
            <v>4.5</v>
          </cell>
          <cell r="U401">
            <v>4.05</v>
          </cell>
          <cell r="V401">
            <v>3.645</v>
          </cell>
          <cell r="W401">
            <v>3.2805</v>
          </cell>
        </row>
        <row r="402">
          <cell r="A402" t="str">
            <v>Nov</v>
          </cell>
          <cell r="C402">
            <v>5</v>
          </cell>
          <cell r="D402">
            <v>5</v>
          </cell>
          <cell r="E402">
            <v>5</v>
          </cell>
          <cell r="F402">
            <v>5</v>
          </cell>
          <cell r="G402">
            <v>5</v>
          </cell>
          <cell r="H402">
            <v>5</v>
          </cell>
          <cell r="I402">
            <v>5</v>
          </cell>
          <cell r="J402">
            <v>5</v>
          </cell>
          <cell r="K402">
            <v>5</v>
          </cell>
          <cell r="L402">
            <v>5</v>
          </cell>
          <cell r="M402">
            <v>5</v>
          </cell>
          <cell r="N402">
            <v>5</v>
          </cell>
          <cell r="P402">
            <v>4.5</v>
          </cell>
          <cell r="Q402">
            <v>4.5</v>
          </cell>
          <cell r="R402">
            <v>4.5</v>
          </cell>
          <cell r="S402">
            <v>4.5</v>
          </cell>
          <cell r="U402">
            <v>4.05</v>
          </cell>
          <cell r="V402">
            <v>3.645</v>
          </cell>
          <cell r="W402">
            <v>3.2805</v>
          </cell>
        </row>
        <row r="403">
          <cell r="A403" t="str">
            <v>Syk</v>
          </cell>
          <cell r="C403">
            <v>5</v>
          </cell>
          <cell r="D403">
            <v>5</v>
          </cell>
          <cell r="E403">
            <v>5</v>
          </cell>
          <cell r="F403">
            <v>5</v>
          </cell>
          <cell r="G403">
            <v>5</v>
          </cell>
          <cell r="H403">
            <v>5</v>
          </cell>
          <cell r="I403">
            <v>5</v>
          </cell>
          <cell r="J403">
            <v>5</v>
          </cell>
          <cell r="K403">
            <v>5</v>
          </cell>
          <cell r="L403">
            <v>5</v>
          </cell>
          <cell r="M403">
            <v>5</v>
          </cell>
          <cell r="N403">
            <v>5</v>
          </cell>
          <cell r="P403">
            <v>4.5</v>
          </cell>
          <cell r="Q403">
            <v>4.5</v>
          </cell>
          <cell r="R403">
            <v>4.5</v>
          </cell>
          <cell r="S403">
            <v>4.5</v>
          </cell>
          <cell r="U403">
            <v>4.05</v>
          </cell>
          <cell r="V403">
            <v>3.645</v>
          </cell>
          <cell r="W403">
            <v>3.2805</v>
          </cell>
        </row>
        <row r="404">
          <cell r="A404" t="str">
            <v>Tyu</v>
          </cell>
          <cell r="C404">
            <v>5</v>
          </cell>
          <cell r="D404">
            <v>5</v>
          </cell>
          <cell r="E404">
            <v>5</v>
          </cell>
          <cell r="F404">
            <v>5</v>
          </cell>
          <cell r="G404">
            <v>5</v>
          </cell>
          <cell r="H404">
            <v>5</v>
          </cell>
          <cell r="I404">
            <v>5</v>
          </cell>
          <cell r="J404">
            <v>5</v>
          </cell>
          <cell r="K404">
            <v>5</v>
          </cell>
          <cell r="L404">
            <v>5</v>
          </cell>
          <cell r="M404">
            <v>5</v>
          </cell>
          <cell r="N404">
            <v>5</v>
          </cell>
          <cell r="P404">
            <v>4.5</v>
          </cell>
          <cell r="Q404">
            <v>4.5</v>
          </cell>
          <cell r="R404">
            <v>4.5</v>
          </cell>
          <cell r="S404">
            <v>4.5</v>
          </cell>
          <cell r="U404">
            <v>4.05</v>
          </cell>
          <cell r="V404">
            <v>3.645</v>
          </cell>
          <cell r="W404">
            <v>3.2805</v>
          </cell>
        </row>
        <row r="405">
          <cell r="A405" t="str">
            <v>Ufa</v>
          </cell>
          <cell r="C405">
            <v>5</v>
          </cell>
          <cell r="D405">
            <v>5</v>
          </cell>
          <cell r="E405">
            <v>5</v>
          </cell>
          <cell r="F405">
            <v>5</v>
          </cell>
          <cell r="G405">
            <v>5</v>
          </cell>
          <cell r="H405">
            <v>5</v>
          </cell>
          <cell r="I405">
            <v>5</v>
          </cell>
          <cell r="J405">
            <v>5</v>
          </cell>
          <cell r="K405">
            <v>5</v>
          </cell>
          <cell r="L405">
            <v>5</v>
          </cell>
          <cell r="M405">
            <v>5</v>
          </cell>
          <cell r="N405">
            <v>5</v>
          </cell>
          <cell r="P405">
            <v>4.5</v>
          </cell>
          <cell r="Q405">
            <v>4.5</v>
          </cell>
          <cell r="R405">
            <v>4.5</v>
          </cell>
          <cell r="S405">
            <v>4.5</v>
          </cell>
          <cell r="U405">
            <v>4.05</v>
          </cell>
          <cell r="V405">
            <v>3.645</v>
          </cell>
          <cell r="W405">
            <v>3.2805</v>
          </cell>
        </row>
        <row r="406">
          <cell r="A406" t="str">
            <v>Vla</v>
          </cell>
          <cell r="C406">
            <v>5</v>
          </cell>
          <cell r="D406">
            <v>5</v>
          </cell>
          <cell r="E406">
            <v>5</v>
          </cell>
          <cell r="F406">
            <v>5</v>
          </cell>
          <cell r="G406">
            <v>5</v>
          </cell>
          <cell r="H406">
            <v>5</v>
          </cell>
          <cell r="I406">
            <v>5</v>
          </cell>
          <cell r="J406">
            <v>5</v>
          </cell>
          <cell r="K406">
            <v>5</v>
          </cell>
          <cell r="L406">
            <v>5</v>
          </cell>
          <cell r="M406">
            <v>5</v>
          </cell>
          <cell r="N406">
            <v>5</v>
          </cell>
          <cell r="P406">
            <v>4.5</v>
          </cell>
          <cell r="Q406">
            <v>4.5</v>
          </cell>
          <cell r="R406">
            <v>4.5</v>
          </cell>
          <cell r="S406">
            <v>4.5</v>
          </cell>
          <cell r="U406">
            <v>4.05</v>
          </cell>
          <cell r="V406">
            <v>3.645</v>
          </cell>
          <cell r="W406">
            <v>3.2805</v>
          </cell>
        </row>
        <row r="407">
          <cell r="A407" t="str">
            <v>Vol</v>
          </cell>
          <cell r="C407">
            <v>5</v>
          </cell>
          <cell r="D407">
            <v>5</v>
          </cell>
          <cell r="E407">
            <v>5</v>
          </cell>
          <cell r="F407">
            <v>5</v>
          </cell>
          <cell r="G407">
            <v>5</v>
          </cell>
          <cell r="H407">
            <v>5</v>
          </cell>
          <cell r="I407">
            <v>5</v>
          </cell>
          <cell r="J407">
            <v>5</v>
          </cell>
          <cell r="K407">
            <v>5</v>
          </cell>
          <cell r="L407">
            <v>5</v>
          </cell>
          <cell r="M407">
            <v>5</v>
          </cell>
          <cell r="N407">
            <v>5</v>
          </cell>
          <cell r="P407">
            <v>4.5</v>
          </cell>
          <cell r="Q407">
            <v>4.5</v>
          </cell>
          <cell r="R407">
            <v>4.5</v>
          </cell>
          <cell r="S407">
            <v>4.5</v>
          </cell>
          <cell r="U407">
            <v>4.05</v>
          </cell>
          <cell r="V407">
            <v>3.645</v>
          </cell>
          <cell r="W407">
            <v>3.2805</v>
          </cell>
        </row>
        <row r="408">
          <cell r="A408" t="str">
            <v>Vor</v>
          </cell>
          <cell r="C408">
            <v>5</v>
          </cell>
          <cell r="D408">
            <v>5</v>
          </cell>
          <cell r="E408">
            <v>5</v>
          </cell>
          <cell r="F408">
            <v>5</v>
          </cell>
          <cell r="G408">
            <v>5</v>
          </cell>
          <cell r="H408">
            <v>5</v>
          </cell>
          <cell r="I408">
            <v>5</v>
          </cell>
          <cell r="J408">
            <v>5</v>
          </cell>
          <cell r="K408">
            <v>5</v>
          </cell>
          <cell r="L408">
            <v>5</v>
          </cell>
          <cell r="M408">
            <v>5</v>
          </cell>
          <cell r="N408">
            <v>5</v>
          </cell>
          <cell r="P408">
            <v>4.5</v>
          </cell>
          <cell r="Q408">
            <v>4.5</v>
          </cell>
          <cell r="R408">
            <v>4.5</v>
          </cell>
          <cell r="S408">
            <v>4.5</v>
          </cell>
          <cell r="U408">
            <v>4.05</v>
          </cell>
          <cell r="V408">
            <v>3.645</v>
          </cell>
          <cell r="W408">
            <v>3.2805</v>
          </cell>
        </row>
        <row r="409">
          <cell r="A409" t="str">
            <v>97#1</v>
          </cell>
          <cell r="C409">
            <v>5</v>
          </cell>
          <cell r="D409">
            <v>5</v>
          </cell>
          <cell r="E409">
            <v>5</v>
          </cell>
          <cell r="F409">
            <v>5</v>
          </cell>
          <cell r="G409">
            <v>5</v>
          </cell>
          <cell r="H409">
            <v>5</v>
          </cell>
          <cell r="I409">
            <v>5</v>
          </cell>
          <cell r="J409">
            <v>5</v>
          </cell>
          <cell r="K409">
            <v>5</v>
          </cell>
          <cell r="L409">
            <v>5</v>
          </cell>
          <cell r="M409">
            <v>5</v>
          </cell>
          <cell r="N409">
            <v>5</v>
          </cell>
          <cell r="P409">
            <v>4.5</v>
          </cell>
          <cell r="Q409">
            <v>4.5</v>
          </cell>
          <cell r="R409">
            <v>4.5</v>
          </cell>
          <cell r="S409">
            <v>4.5</v>
          </cell>
          <cell r="U409">
            <v>4.05</v>
          </cell>
          <cell r="V409">
            <v>3.645</v>
          </cell>
          <cell r="W409">
            <v>3.2805</v>
          </cell>
        </row>
        <row r="410">
          <cell r="A410" t="str">
            <v>97#2</v>
          </cell>
          <cell r="C410">
            <v>5</v>
          </cell>
          <cell r="D410">
            <v>5</v>
          </cell>
          <cell r="E410">
            <v>5</v>
          </cell>
          <cell r="F410">
            <v>5</v>
          </cell>
          <cell r="G410">
            <v>5</v>
          </cell>
          <cell r="H410">
            <v>5</v>
          </cell>
          <cell r="I410">
            <v>5</v>
          </cell>
          <cell r="J410">
            <v>5</v>
          </cell>
          <cell r="K410">
            <v>5</v>
          </cell>
          <cell r="L410">
            <v>5</v>
          </cell>
          <cell r="M410">
            <v>5</v>
          </cell>
          <cell r="N410">
            <v>5</v>
          </cell>
          <cell r="P410">
            <v>4.5</v>
          </cell>
          <cell r="Q410">
            <v>4.5</v>
          </cell>
          <cell r="R410">
            <v>4.5</v>
          </cell>
          <cell r="S410">
            <v>4.5</v>
          </cell>
          <cell r="U410">
            <v>4.05</v>
          </cell>
          <cell r="V410">
            <v>3.645</v>
          </cell>
          <cell r="W410">
            <v>3.2805</v>
          </cell>
        </row>
        <row r="411">
          <cell r="A411" t="str">
            <v>98#1</v>
          </cell>
          <cell r="C411">
            <v>5</v>
          </cell>
          <cell r="D411">
            <v>5</v>
          </cell>
          <cell r="E411">
            <v>5</v>
          </cell>
          <cell r="F411">
            <v>5</v>
          </cell>
          <cell r="G411">
            <v>5</v>
          </cell>
          <cell r="H411">
            <v>5</v>
          </cell>
          <cell r="I411">
            <v>5</v>
          </cell>
          <cell r="J411">
            <v>5</v>
          </cell>
          <cell r="K411">
            <v>5</v>
          </cell>
          <cell r="L411">
            <v>5</v>
          </cell>
          <cell r="M411">
            <v>5</v>
          </cell>
          <cell r="N411">
            <v>5</v>
          </cell>
          <cell r="P411">
            <v>4.5</v>
          </cell>
          <cell r="Q411">
            <v>4.5</v>
          </cell>
          <cell r="R411">
            <v>4.5</v>
          </cell>
          <cell r="S411">
            <v>4.5</v>
          </cell>
          <cell r="U411">
            <v>4.05</v>
          </cell>
          <cell r="V411">
            <v>3.645</v>
          </cell>
          <cell r="W411">
            <v>3.2805</v>
          </cell>
        </row>
        <row r="412">
          <cell r="A412" t="str">
            <v>98#2</v>
          </cell>
          <cell r="C412">
            <v>5</v>
          </cell>
          <cell r="D412">
            <v>5</v>
          </cell>
          <cell r="E412">
            <v>5</v>
          </cell>
          <cell r="F412">
            <v>5</v>
          </cell>
          <cell r="G412">
            <v>5</v>
          </cell>
          <cell r="H412">
            <v>5</v>
          </cell>
          <cell r="I412">
            <v>5</v>
          </cell>
          <cell r="J412">
            <v>5</v>
          </cell>
          <cell r="K412">
            <v>5</v>
          </cell>
          <cell r="L412">
            <v>5</v>
          </cell>
          <cell r="M412">
            <v>5</v>
          </cell>
          <cell r="N412">
            <v>5</v>
          </cell>
          <cell r="P412">
            <v>4.5</v>
          </cell>
          <cell r="Q412">
            <v>4.5</v>
          </cell>
          <cell r="R412">
            <v>4.5</v>
          </cell>
          <cell r="S412">
            <v>4.5</v>
          </cell>
          <cell r="U412">
            <v>4.05</v>
          </cell>
          <cell r="V412">
            <v>3.645</v>
          </cell>
          <cell r="W412">
            <v>3.2805</v>
          </cell>
        </row>
        <row r="413">
          <cell r="A413" t="str">
            <v>Mos</v>
          </cell>
        </row>
        <row r="414">
          <cell r="A414" t="str">
            <v>Con</v>
          </cell>
          <cell r="C414">
            <v>7</v>
          </cell>
          <cell r="D414">
            <v>7</v>
          </cell>
          <cell r="E414">
            <v>7</v>
          </cell>
          <cell r="F414">
            <v>7</v>
          </cell>
          <cell r="G414">
            <v>7</v>
          </cell>
          <cell r="H414">
            <v>7</v>
          </cell>
          <cell r="I414">
            <v>7</v>
          </cell>
          <cell r="J414">
            <v>7</v>
          </cell>
          <cell r="K414">
            <v>7</v>
          </cell>
          <cell r="L414">
            <v>7</v>
          </cell>
          <cell r="M414">
            <v>7</v>
          </cell>
          <cell r="N414">
            <v>7</v>
          </cell>
          <cell r="P414">
            <v>7</v>
          </cell>
          <cell r="Q414">
            <v>7</v>
          </cell>
          <cell r="R414">
            <v>7</v>
          </cell>
          <cell r="S414">
            <v>7</v>
          </cell>
          <cell r="U414">
            <v>72.900000000000006</v>
          </cell>
          <cell r="V414">
            <v>65.61</v>
          </cell>
          <cell r="W414">
            <v>59.049000000000014</v>
          </cell>
        </row>
        <row r="416">
          <cell r="A416" t="str">
            <v>WAC Number of intercity minutes per card</v>
          </cell>
        </row>
        <row r="417">
          <cell r="B417">
            <v>35765</v>
          </cell>
          <cell r="C417">
            <v>35796</v>
          </cell>
          <cell r="D417">
            <v>35827</v>
          </cell>
          <cell r="E417">
            <v>35855</v>
          </cell>
          <cell r="F417">
            <v>35886</v>
          </cell>
          <cell r="G417">
            <v>35916</v>
          </cell>
          <cell r="H417">
            <v>35947</v>
          </cell>
          <cell r="I417">
            <v>35977</v>
          </cell>
          <cell r="J417">
            <v>36008</v>
          </cell>
          <cell r="K417">
            <v>36039</v>
          </cell>
          <cell r="L417">
            <v>36069</v>
          </cell>
          <cell r="M417">
            <v>36100</v>
          </cell>
          <cell r="N417">
            <v>36130</v>
          </cell>
          <cell r="O417" t="str">
            <v>Total 98</v>
          </cell>
          <cell r="P417" t="str">
            <v>Q1-99</v>
          </cell>
          <cell r="Q417" t="str">
            <v>Q2-99</v>
          </cell>
          <cell r="R417" t="str">
            <v>Q3-99</v>
          </cell>
          <cell r="S417" t="str">
            <v>Q4-99</v>
          </cell>
          <cell r="T417" t="str">
            <v>Total 99</v>
          </cell>
          <cell r="U417">
            <v>2000</v>
          </cell>
          <cell r="V417">
            <v>2001</v>
          </cell>
          <cell r="W417">
            <v>2002</v>
          </cell>
        </row>
        <row r="418">
          <cell r="A418" t="str">
            <v>Ark</v>
          </cell>
          <cell r="B418">
            <v>8</v>
          </cell>
          <cell r="C418">
            <v>10</v>
          </cell>
          <cell r="D418">
            <v>10</v>
          </cell>
          <cell r="E418">
            <v>10</v>
          </cell>
          <cell r="F418">
            <v>10</v>
          </cell>
          <cell r="G418">
            <v>10</v>
          </cell>
          <cell r="H418">
            <v>10</v>
          </cell>
          <cell r="I418">
            <v>10</v>
          </cell>
          <cell r="J418">
            <v>10</v>
          </cell>
          <cell r="K418">
            <v>10</v>
          </cell>
          <cell r="L418">
            <v>10</v>
          </cell>
          <cell r="M418">
            <v>10</v>
          </cell>
          <cell r="N418">
            <v>10</v>
          </cell>
          <cell r="P418">
            <v>10</v>
          </cell>
          <cell r="Q418">
            <v>10</v>
          </cell>
          <cell r="R418">
            <v>10</v>
          </cell>
          <cell r="S418">
            <v>10</v>
          </cell>
          <cell r="U418">
            <v>10</v>
          </cell>
          <cell r="V418">
            <v>10</v>
          </cell>
          <cell r="W418">
            <v>10</v>
          </cell>
        </row>
        <row r="419">
          <cell r="A419" t="str">
            <v>Eka</v>
          </cell>
          <cell r="B419">
            <v>10</v>
          </cell>
          <cell r="C419">
            <v>8</v>
          </cell>
          <cell r="D419">
            <v>8</v>
          </cell>
          <cell r="E419">
            <v>8</v>
          </cell>
          <cell r="F419">
            <v>8</v>
          </cell>
          <cell r="G419">
            <v>8</v>
          </cell>
          <cell r="H419">
            <v>8</v>
          </cell>
          <cell r="I419">
            <v>8</v>
          </cell>
          <cell r="J419">
            <v>8</v>
          </cell>
          <cell r="K419">
            <v>8</v>
          </cell>
          <cell r="L419">
            <v>8</v>
          </cell>
          <cell r="M419">
            <v>8</v>
          </cell>
          <cell r="N419">
            <v>8</v>
          </cell>
          <cell r="P419">
            <v>8</v>
          </cell>
          <cell r="Q419">
            <v>8</v>
          </cell>
          <cell r="R419">
            <v>8</v>
          </cell>
          <cell r="S419">
            <v>8</v>
          </cell>
          <cell r="U419">
            <v>8</v>
          </cell>
          <cell r="V419">
            <v>8</v>
          </cell>
          <cell r="W419">
            <v>8</v>
          </cell>
        </row>
        <row r="420">
          <cell r="A420" t="str">
            <v>Irk</v>
          </cell>
          <cell r="B420">
            <v>20</v>
          </cell>
          <cell r="C420">
            <v>8</v>
          </cell>
          <cell r="D420">
            <v>8</v>
          </cell>
          <cell r="E420">
            <v>8</v>
          </cell>
          <cell r="F420">
            <v>8</v>
          </cell>
          <cell r="G420">
            <v>8</v>
          </cell>
          <cell r="H420">
            <v>8</v>
          </cell>
          <cell r="I420">
            <v>8</v>
          </cell>
          <cell r="J420">
            <v>8</v>
          </cell>
          <cell r="K420">
            <v>8</v>
          </cell>
          <cell r="L420">
            <v>8</v>
          </cell>
          <cell r="M420">
            <v>8</v>
          </cell>
          <cell r="N420">
            <v>8</v>
          </cell>
          <cell r="P420">
            <v>8</v>
          </cell>
          <cell r="Q420">
            <v>8</v>
          </cell>
          <cell r="R420">
            <v>8</v>
          </cell>
          <cell r="S420">
            <v>8</v>
          </cell>
          <cell r="U420">
            <v>8</v>
          </cell>
          <cell r="V420">
            <v>8</v>
          </cell>
          <cell r="W420">
            <v>8</v>
          </cell>
        </row>
        <row r="421">
          <cell r="A421" t="str">
            <v>Kha</v>
          </cell>
          <cell r="B421">
            <v>5</v>
          </cell>
          <cell r="C421">
            <v>17</v>
          </cell>
          <cell r="D421">
            <v>17</v>
          </cell>
          <cell r="E421">
            <v>17</v>
          </cell>
          <cell r="F421">
            <v>17</v>
          </cell>
          <cell r="G421">
            <v>17</v>
          </cell>
          <cell r="H421">
            <v>17</v>
          </cell>
          <cell r="I421">
            <v>17</v>
          </cell>
          <cell r="J421">
            <v>17</v>
          </cell>
          <cell r="K421">
            <v>17</v>
          </cell>
          <cell r="L421">
            <v>17</v>
          </cell>
          <cell r="M421">
            <v>17</v>
          </cell>
          <cell r="N421">
            <v>17</v>
          </cell>
          <cell r="P421">
            <v>17</v>
          </cell>
          <cell r="Q421">
            <v>17</v>
          </cell>
          <cell r="R421">
            <v>17</v>
          </cell>
          <cell r="S421">
            <v>17</v>
          </cell>
          <cell r="U421">
            <v>17</v>
          </cell>
          <cell r="V421">
            <v>17</v>
          </cell>
          <cell r="W421">
            <v>17</v>
          </cell>
        </row>
        <row r="422">
          <cell r="A422" t="str">
            <v>Kra</v>
          </cell>
          <cell r="B422">
            <v>15</v>
          </cell>
          <cell r="C422">
            <v>7</v>
          </cell>
          <cell r="D422">
            <v>7</v>
          </cell>
          <cell r="E422">
            <v>7</v>
          </cell>
          <cell r="F422">
            <v>7</v>
          </cell>
          <cell r="G422">
            <v>7</v>
          </cell>
          <cell r="H422">
            <v>7</v>
          </cell>
          <cell r="I422">
            <v>7</v>
          </cell>
          <cell r="J422">
            <v>7</v>
          </cell>
          <cell r="K422">
            <v>7</v>
          </cell>
          <cell r="L422">
            <v>7</v>
          </cell>
          <cell r="M422">
            <v>7</v>
          </cell>
          <cell r="N422">
            <v>7</v>
          </cell>
          <cell r="P422">
            <v>7</v>
          </cell>
          <cell r="Q422">
            <v>7</v>
          </cell>
          <cell r="R422">
            <v>7</v>
          </cell>
          <cell r="S422">
            <v>7</v>
          </cell>
          <cell r="U422">
            <v>7</v>
          </cell>
          <cell r="V422">
            <v>7</v>
          </cell>
          <cell r="W422">
            <v>7</v>
          </cell>
        </row>
        <row r="423">
          <cell r="A423" t="str">
            <v>Niz</v>
          </cell>
          <cell r="B423">
            <v>5</v>
          </cell>
          <cell r="C423">
            <v>20</v>
          </cell>
          <cell r="D423">
            <v>20</v>
          </cell>
          <cell r="E423">
            <v>20</v>
          </cell>
          <cell r="F423">
            <v>20</v>
          </cell>
          <cell r="G423">
            <v>20</v>
          </cell>
          <cell r="H423">
            <v>20</v>
          </cell>
          <cell r="I423">
            <v>20</v>
          </cell>
          <cell r="J423">
            <v>20</v>
          </cell>
          <cell r="K423">
            <v>20</v>
          </cell>
          <cell r="L423">
            <v>20</v>
          </cell>
          <cell r="M423">
            <v>20</v>
          </cell>
          <cell r="N423">
            <v>20</v>
          </cell>
          <cell r="P423">
            <v>20</v>
          </cell>
          <cell r="Q423">
            <v>20</v>
          </cell>
          <cell r="R423">
            <v>20</v>
          </cell>
          <cell r="S423">
            <v>20</v>
          </cell>
          <cell r="U423">
            <v>20</v>
          </cell>
          <cell r="V423">
            <v>20</v>
          </cell>
          <cell r="W423">
            <v>20</v>
          </cell>
        </row>
        <row r="424">
          <cell r="A424" t="str">
            <v>Nov</v>
          </cell>
          <cell r="B424">
            <v>36</v>
          </cell>
          <cell r="C424">
            <v>25</v>
          </cell>
          <cell r="D424">
            <v>25</v>
          </cell>
          <cell r="E424">
            <v>25</v>
          </cell>
          <cell r="F424">
            <v>25</v>
          </cell>
          <cell r="G424">
            <v>25</v>
          </cell>
          <cell r="H424">
            <v>25</v>
          </cell>
          <cell r="I424">
            <v>25</v>
          </cell>
          <cell r="J424">
            <v>25</v>
          </cell>
          <cell r="K424">
            <v>25</v>
          </cell>
          <cell r="L424">
            <v>25</v>
          </cell>
          <cell r="M424">
            <v>25</v>
          </cell>
          <cell r="N424">
            <v>25</v>
          </cell>
          <cell r="P424">
            <v>25</v>
          </cell>
          <cell r="Q424">
            <v>25</v>
          </cell>
          <cell r="R424">
            <v>25</v>
          </cell>
          <cell r="S424">
            <v>25</v>
          </cell>
          <cell r="U424">
            <v>25</v>
          </cell>
          <cell r="V424">
            <v>25</v>
          </cell>
          <cell r="W424">
            <v>25</v>
          </cell>
        </row>
        <row r="425">
          <cell r="A425" t="str">
            <v>Syk</v>
          </cell>
          <cell r="B425">
            <v>10</v>
          </cell>
          <cell r="C425">
            <v>5</v>
          </cell>
          <cell r="D425">
            <v>5</v>
          </cell>
          <cell r="E425">
            <v>5</v>
          </cell>
          <cell r="F425">
            <v>5</v>
          </cell>
          <cell r="G425">
            <v>5</v>
          </cell>
          <cell r="H425">
            <v>5</v>
          </cell>
          <cell r="I425">
            <v>5</v>
          </cell>
          <cell r="J425">
            <v>5</v>
          </cell>
          <cell r="K425">
            <v>5</v>
          </cell>
          <cell r="L425">
            <v>5</v>
          </cell>
          <cell r="M425">
            <v>5</v>
          </cell>
          <cell r="N425">
            <v>5</v>
          </cell>
          <cell r="P425">
            <v>5</v>
          </cell>
          <cell r="Q425">
            <v>5</v>
          </cell>
          <cell r="R425">
            <v>5</v>
          </cell>
          <cell r="S425">
            <v>5</v>
          </cell>
          <cell r="U425">
            <v>5</v>
          </cell>
          <cell r="V425">
            <v>5</v>
          </cell>
          <cell r="W425">
            <v>5</v>
          </cell>
        </row>
        <row r="426">
          <cell r="A426" t="str">
            <v>Tyu</v>
          </cell>
          <cell r="B426">
            <v>25</v>
          </cell>
          <cell r="C426">
            <v>20</v>
          </cell>
          <cell r="D426">
            <v>20</v>
          </cell>
          <cell r="E426">
            <v>20</v>
          </cell>
          <cell r="F426">
            <v>20</v>
          </cell>
          <cell r="G426">
            <v>20</v>
          </cell>
          <cell r="H426">
            <v>20</v>
          </cell>
          <cell r="I426">
            <v>20</v>
          </cell>
          <cell r="J426">
            <v>20</v>
          </cell>
          <cell r="K426">
            <v>20</v>
          </cell>
          <cell r="L426">
            <v>20</v>
          </cell>
          <cell r="M426">
            <v>20</v>
          </cell>
          <cell r="N426">
            <v>20</v>
          </cell>
          <cell r="P426">
            <v>20</v>
          </cell>
          <cell r="Q426">
            <v>20</v>
          </cell>
          <cell r="R426">
            <v>20</v>
          </cell>
          <cell r="S426">
            <v>20</v>
          </cell>
          <cell r="U426">
            <v>20</v>
          </cell>
          <cell r="V426">
            <v>20</v>
          </cell>
          <cell r="W426">
            <v>20</v>
          </cell>
        </row>
        <row r="427">
          <cell r="A427" t="str">
            <v>Ufa</v>
          </cell>
          <cell r="B427">
            <v>25</v>
          </cell>
          <cell r="C427">
            <v>15</v>
          </cell>
          <cell r="D427">
            <v>15</v>
          </cell>
          <cell r="E427">
            <v>15</v>
          </cell>
          <cell r="F427">
            <v>15</v>
          </cell>
          <cell r="G427">
            <v>15</v>
          </cell>
          <cell r="H427">
            <v>15</v>
          </cell>
          <cell r="I427">
            <v>15</v>
          </cell>
          <cell r="J427">
            <v>15</v>
          </cell>
          <cell r="K427">
            <v>15</v>
          </cell>
          <cell r="L427">
            <v>15</v>
          </cell>
          <cell r="M427">
            <v>15</v>
          </cell>
          <cell r="N427">
            <v>15</v>
          </cell>
          <cell r="P427">
            <v>15</v>
          </cell>
          <cell r="Q427">
            <v>15</v>
          </cell>
          <cell r="R427">
            <v>15</v>
          </cell>
          <cell r="S427">
            <v>15</v>
          </cell>
          <cell r="U427">
            <v>15</v>
          </cell>
          <cell r="V427">
            <v>15</v>
          </cell>
          <cell r="W427">
            <v>15</v>
          </cell>
        </row>
        <row r="428">
          <cell r="A428" t="str">
            <v>Vla</v>
          </cell>
          <cell r="B428">
            <v>50</v>
          </cell>
          <cell r="C428">
            <v>17</v>
          </cell>
          <cell r="D428">
            <v>17</v>
          </cell>
          <cell r="E428">
            <v>17</v>
          </cell>
          <cell r="F428">
            <v>17</v>
          </cell>
          <cell r="G428">
            <v>17</v>
          </cell>
          <cell r="H428">
            <v>17</v>
          </cell>
          <cell r="I428">
            <v>17</v>
          </cell>
          <cell r="J428">
            <v>17</v>
          </cell>
          <cell r="K428">
            <v>17</v>
          </cell>
          <cell r="L428">
            <v>17</v>
          </cell>
          <cell r="M428">
            <v>17</v>
          </cell>
          <cell r="N428">
            <v>17</v>
          </cell>
          <cell r="P428">
            <v>17</v>
          </cell>
          <cell r="Q428">
            <v>17</v>
          </cell>
          <cell r="R428">
            <v>17</v>
          </cell>
          <cell r="S428">
            <v>17</v>
          </cell>
          <cell r="U428">
            <v>17</v>
          </cell>
          <cell r="V428">
            <v>17</v>
          </cell>
          <cell r="W428">
            <v>17</v>
          </cell>
        </row>
        <row r="429">
          <cell r="A429" t="str">
            <v>Vol</v>
          </cell>
          <cell r="C429">
            <v>10</v>
          </cell>
          <cell r="D429">
            <v>10</v>
          </cell>
          <cell r="E429">
            <v>10</v>
          </cell>
          <cell r="F429">
            <v>10</v>
          </cell>
          <cell r="G429">
            <v>10</v>
          </cell>
          <cell r="H429">
            <v>10</v>
          </cell>
          <cell r="I429">
            <v>10</v>
          </cell>
          <cell r="J429">
            <v>10</v>
          </cell>
          <cell r="K429">
            <v>10</v>
          </cell>
          <cell r="L429">
            <v>10</v>
          </cell>
          <cell r="M429">
            <v>10</v>
          </cell>
          <cell r="N429">
            <v>10</v>
          </cell>
          <cell r="P429">
            <v>10</v>
          </cell>
          <cell r="Q429">
            <v>10</v>
          </cell>
          <cell r="R429">
            <v>10</v>
          </cell>
          <cell r="S429">
            <v>10</v>
          </cell>
          <cell r="U429">
            <v>10</v>
          </cell>
          <cell r="V429">
            <v>10</v>
          </cell>
          <cell r="W429">
            <v>10</v>
          </cell>
        </row>
        <row r="430">
          <cell r="A430" t="str">
            <v>Vor</v>
          </cell>
          <cell r="C430">
            <v>6</v>
          </cell>
          <cell r="D430">
            <v>6</v>
          </cell>
          <cell r="E430">
            <v>6</v>
          </cell>
          <cell r="F430">
            <v>6</v>
          </cell>
          <cell r="G430">
            <v>6</v>
          </cell>
          <cell r="H430">
            <v>6</v>
          </cell>
          <cell r="I430">
            <v>6</v>
          </cell>
          <cell r="J430">
            <v>6</v>
          </cell>
          <cell r="K430">
            <v>6</v>
          </cell>
          <cell r="L430">
            <v>6</v>
          </cell>
          <cell r="M430">
            <v>6</v>
          </cell>
          <cell r="N430">
            <v>6</v>
          </cell>
          <cell r="P430">
            <v>6</v>
          </cell>
          <cell r="Q430">
            <v>6</v>
          </cell>
          <cell r="R430">
            <v>6</v>
          </cell>
          <cell r="S430">
            <v>6</v>
          </cell>
          <cell r="U430">
            <v>6</v>
          </cell>
          <cell r="V430">
            <v>6</v>
          </cell>
          <cell r="W430">
            <v>6</v>
          </cell>
        </row>
        <row r="431">
          <cell r="A431" t="str">
            <v>97#1</v>
          </cell>
          <cell r="C431">
            <v>10</v>
          </cell>
          <cell r="D431">
            <v>10</v>
          </cell>
          <cell r="E431">
            <v>10</v>
          </cell>
          <cell r="F431">
            <v>10</v>
          </cell>
          <cell r="G431">
            <v>10</v>
          </cell>
          <cell r="H431">
            <v>10</v>
          </cell>
          <cell r="I431">
            <v>10</v>
          </cell>
          <cell r="J431">
            <v>10</v>
          </cell>
          <cell r="K431">
            <v>10</v>
          </cell>
          <cell r="L431">
            <v>10</v>
          </cell>
          <cell r="M431">
            <v>10</v>
          </cell>
          <cell r="N431">
            <v>10</v>
          </cell>
          <cell r="P431">
            <v>10</v>
          </cell>
          <cell r="Q431">
            <v>10</v>
          </cell>
          <cell r="R431">
            <v>10</v>
          </cell>
          <cell r="S431">
            <v>10</v>
          </cell>
          <cell r="U431">
            <v>10</v>
          </cell>
          <cell r="V431">
            <v>10</v>
          </cell>
          <cell r="W431">
            <v>10</v>
          </cell>
        </row>
        <row r="432">
          <cell r="A432" t="str">
            <v>97#2</v>
          </cell>
          <cell r="C432">
            <v>15</v>
          </cell>
          <cell r="D432">
            <v>15</v>
          </cell>
          <cell r="E432">
            <v>15</v>
          </cell>
          <cell r="F432">
            <v>15</v>
          </cell>
          <cell r="G432">
            <v>15</v>
          </cell>
          <cell r="H432">
            <v>15</v>
          </cell>
          <cell r="I432">
            <v>15</v>
          </cell>
          <cell r="J432">
            <v>15</v>
          </cell>
          <cell r="K432">
            <v>15</v>
          </cell>
          <cell r="L432">
            <v>15</v>
          </cell>
          <cell r="M432">
            <v>15</v>
          </cell>
          <cell r="N432">
            <v>15</v>
          </cell>
          <cell r="P432">
            <v>15</v>
          </cell>
          <cell r="Q432">
            <v>15</v>
          </cell>
          <cell r="R432">
            <v>15</v>
          </cell>
          <cell r="S432">
            <v>15</v>
          </cell>
          <cell r="U432">
            <v>15</v>
          </cell>
          <cell r="V432">
            <v>15</v>
          </cell>
          <cell r="W432">
            <v>15</v>
          </cell>
        </row>
        <row r="433">
          <cell r="A433" t="str">
            <v>98#1</v>
          </cell>
          <cell r="C433">
            <v>10</v>
          </cell>
          <cell r="D433">
            <v>10</v>
          </cell>
          <cell r="E433">
            <v>10</v>
          </cell>
          <cell r="F433">
            <v>10</v>
          </cell>
          <cell r="G433">
            <v>10</v>
          </cell>
          <cell r="H433">
            <v>10</v>
          </cell>
          <cell r="I433">
            <v>10</v>
          </cell>
          <cell r="J433">
            <v>10</v>
          </cell>
          <cell r="K433">
            <v>10</v>
          </cell>
          <cell r="L433">
            <v>10</v>
          </cell>
          <cell r="M433">
            <v>10</v>
          </cell>
          <cell r="N433">
            <v>10</v>
          </cell>
          <cell r="P433">
            <v>10</v>
          </cell>
          <cell r="Q433">
            <v>10</v>
          </cell>
          <cell r="R433">
            <v>10</v>
          </cell>
          <cell r="S433">
            <v>10</v>
          </cell>
          <cell r="U433">
            <v>10</v>
          </cell>
          <cell r="V433">
            <v>10</v>
          </cell>
          <cell r="W433">
            <v>10</v>
          </cell>
        </row>
        <row r="434">
          <cell r="A434" t="str">
            <v>98#2</v>
          </cell>
          <cell r="C434">
            <v>15</v>
          </cell>
          <cell r="D434">
            <v>15</v>
          </cell>
          <cell r="E434">
            <v>15</v>
          </cell>
          <cell r="F434">
            <v>15</v>
          </cell>
          <cell r="G434">
            <v>15</v>
          </cell>
          <cell r="H434">
            <v>15</v>
          </cell>
          <cell r="I434">
            <v>15</v>
          </cell>
          <cell r="J434">
            <v>15</v>
          </cell>
          <cell r="K434">
            <v>15</v>
          </cell>
          <cell r="L434">
            <v>15</v>
          </cell>
          <cell r="M434">
            <v>15</v>
          </cell>
          <cell r="N434">
            <v>15</v>
          </cell>
          <cell r="P434">
            <v>15</v>
          </cell>
          <cell r="Q434">
            <v>15</v>
          </cell>
          <cell r="R434">
            <v>15</v>
          </cell>
          <cell r="S434">
            <v>15</v>
          </cell>
          <cell r="U434">
            <v>15</v>
          </cell>
          <cell r="V434">
            <v>15</v>
          </cell>
          <cell r="W434">
            <v>15</v>
          </cell>
        </row>
        <row r="435">
          <cell r="A435" t="str">
            <v>Mos</v>
          </cell>
          <cell r="B435">
            <v>15</v>
          </cell>
          <cell r="C435">
            <v>15</v>
          </cell>
          <cell r="D435">
            <v>15</v>
          </cell>
          <cell r="E435">
            <v>15</v>
          </cell>
          <cell r="F435">
            <v>15</v>
          </cell>
          <cell r="G435">
            <v>15</v>
          </cell>
          <cell r="H435">
            <v>15</v>
          </cell>
          <cell r="I435">
            <v>15</v>
          </cell>
          <cell r="J435">
            <v>15</v>
          </cell>
          <cell r="K435">
            <v>15</v>
          </cell>
          <cell r="L435">
            <v>15</v>
          </cell>
          <cell r="M435">
            <v>15</v>
          </cell>
          <cell r="N435">
            <v>15</v>
          </cell>
          <cell r="P435">
            <v>15</v>
          </cell>
          <cell r="Q435">
            <v>15</v>
          </cell>
          <cell r="R435">
            <v>15</v>
          </cell>
          <cell r="S435">
            <v>15</v>
          </cell>
          <cell r="U435">
            <v>15</v>
          </cell>
          <cell r="V435">
            <v>15</v>
          </cell>
          <cell r="W435">
            <v>15</v>
          </cell>
        </row>
        <row r="436">
          <cell r="A436" t="str">
            <v>Con</v>
          </cell>
          <cell r="C436">
            <v>15</v>
          </cell>
          <cell r="D436">
            <v>28</v>
          </cell>
          <cell r="E436">
            <v>28</v>
          </cell>
          <cell r="F436">
            <v>27</v>
          </cell>
          <cell r="G436">
            <v>20.25</v>
          </cell>
          <cell r="H436">
            <v>25</v>
          </cell>
          <cell r="I436">
            <v>25</v>
          </cell>
          <cell r="J436">
            <v>24</v>
          </cell>
          <cell r="K436">
            <v>24</v>
          </cell>
          <cell r="L436">
            <v>22</v>
          </cell>
          <cell r="M436">
            <v>22</v>
          </cell>
          <cell r="N436">
            <v>22</v>
          </cell>
          <cell r="P436">
            <v>22</v>
          </cell>
          <cell r="Q436">
            <v>22</v>
          </cell>
          <cell r="R436">
            <v>22</v>
          </cell>
          <cell r="S436">
            <v>22</v>
          </cell>
          <cell r="U436">
            <v>22</v>
          </cell>
          <cell r="V436">
            <v>22</v>
          </cell>
          <cell r="W436">
            <v>22</v>
          </cell>
        </row>
        <row r="438">
          <cell r="A438" t="str">
            <v xml:space="preserve">WAC Average intercity tariff </v>
          </cell>
        </row>
        <row r="439">
          <cell r="B439">
            <v>35765</v>
          </cell>
          <cell r="C439">
            <v>35796</v>
          </cell>
          <cell r="D439">
            <v>35827</v>
          </cell>
          <cell r="E439">
            <v>35855</v>
          </cell>
          <cell r="F439">
            <v>35886</v>
          </cell>
          <cell r="G439">
            <v>35916</v>
          </cell>
          <cell r="H439">
            <v>35947</v>
          </cell>
          <cell r="I439">
            <v>35977</v>
          </cell>
          <cell r="J439">
            <v>36008</v>
          </cell>
          <cell r="K439">
            <v>36039</v>
          </cell>
          <cell r="L439">
            <v>36069</v>
          </cell>
          <cell r="M439">
            <v>36100</v>
          </cell>
          <cell r="N439">
            <v>36130</v>
          </cell>
          <cell r="O439" t="str">
            <v>Total 98</v>
          </cell>
          <cell r="P439" t="str">
            <v>Q1-99</v>
          </cell>
          <cell r="Q439" t="str">
            <v>Q2-99</v>
          </cell>
          <cell r="R439" t="str">
            <v>Q3-99</v>
          </cell>
          <cell r="S439" t="str">
            <v>Q4-99</v>
          </cell>
          <cell r="T439" t="str">
            <v>Total 99</v>
          </cell>
          <cell r="U439">
            <v>2000</v>
          </cell>
          <cell r="V439">
            <v>2001</v>
          </cell>
          <cell r="W439">
            <v>2002</v>
          </cell>
        </row>
        <row r="440">
          <cell r="A440" t="str">
            <v>Ark</v>
          </cell>
          <cell r="C440">
            <v>0.45500000000000002</v>
          </cell>
          <cell r="D440">
            <v>0.45500000000000002</v>
          </cell>
          <cell r="E440">
            <v>0.45500000000000002</v>
          </cell>
          <cell r="F440">
            <v>0.45500000000000002</v>
          </cell>
          <cell r="G440">
            <v>0.45500000000000002</v>
          </cell>
          <cell r="H440">
            <v>0.45500000000000002</v>
          </cell>
          <cell r="I440">
            <v>0.45500000000000002</v>
          </cell>
          <cell r="J440">
            <v>0.45500000000000002</v>
          </cell>
          <cell r="K440">
            <v>0.45500000000000002</v>
          </cell>
          <cell r="L440">
            <v>0.45500000000000002</v>
          </cell>
          <cell r="M440">
            <v>0.45500000000000002</v>
          </cell>
          <cell r="N440">
            <v>0.45500000000000002</v>
          </cell>
          <cell r="P440">
            <v>0.40950000000000003</v>
          </cell>
          <cell r="Q440">
            <v>0.40950000000000003</v>
          </cell>
          <cell r="R440">
            <v>0.40950000000000003</v>
          </cell>
          <cell r="S440">
            <v>0.40950000000000003</v>
          </cell>
          <cell r="U440">
            <v>0.36855000000000004</v>
          </cell>
          <cell r="V440">
            <v>0.33169500000000007</v>
          </cell>
          <cell r="W440">
            <v>0.29852550000000005</v>
          </cell>
        </row>
        <row r="441">
          <cell r="A441" t="str">
            <v>Eka</v>
          </cell>
          <cell r="C441">
            <v>0.36300000000000004</v>
          </cell>
          <cell r="D441">
            <v>0.36300000000000004</v>
          </cell>
          <cell r="E441">
            <v>0.36300000000000004</v>
          </cell>
          <cell r="F441">
            <v>0.36300000000000004</v>
          </cell>
          <cell r="G441">
            <v>0.36300000000000004</v>
          </cell>
          <cell r="H441">
            <v>0.36300000000000004</v>
          </cell>
          <cell r="I441">
            <v>0.36300000000000004</v>
          </cell>
          <cell r="J441">
            <v>0.36300000000000004</v>
          </cell>
          <cell r="K441">
            <v>0.36300000000000004</v>
          </cell>
          <cell r="L441">
            <v>0.36300000000000004</v>
          </cell>
          <cell r="M441">
            <v>0.36300000000000004</v>
          </cell>
          <cell r="N441">
            <v>0.36300000000000004</v>
          </cell>
          <cell r="P441">
            <v>0.32670000000000005</v>
          </cell>
          <cell r="Q441">
            <v>0.32670000000000005</v>
          </cell>
          <cell r="R441">
            <v>0.32670000000000005</v>
          </cell>
          <cell r="S441">
            <v>0.32670000000000005</v>
          </cell>
          <cell r="U441">
            <v>0.29403000000000007</v>
          </cell>
          <cell r="V441">
            <v>0.26462700000000006</v>
          </cell>
          <cell r="W441">
            <v>0.23816430000000005</v>
          </cell>
        </row>
        <row r="442">
          <cell r="A442" t="str">
            <v>Irk</v>
          </cell>
          <cell r="C442">
            <v>0.48399999999999999</v>
          </cell>
          <cell r="D442">
            <v>0.48399999999999999</v>
          </cell>
          <cell r="E442">
            <v>0.48399999999999999</v>
          </cell>
          <cell r="F442">
            <v>0.48399999999999999</v>
          </cell>
          <cell r="G442">
            <v>0.48399999999999999</v>
          </cell>
          <cell r="H442">
            <v>0.48399999999999999</v>
          </cell>
          <cell r="I442">
            <v>0.48399999999999999</v>
          </cell>
          <cell r="J442">
            <v>0.48399999999999999</v>
          </cell>
          <cell r="K442">
            <v>0.48399999999999999</v>
          </cell>
          <cell r="L442">
            <v>0.48399999999999999</v>
          </cell>
          <cell r="M442">
            <v>0.48399999999999999</v>
          </cell>
          <cell r="N442">
            <v>0.48399999999999999</v>
          </cell>
          <cell r="P442">
            <v>0.43559999999999999</v>
          </cell>
          <cell r="Q442">
            <v>0.43559999999999999</v>
          </cell>
          <cell r="R442">
            <v>0.43559999999999999</v>
          </cell>
          <cell r="S442">
            <v>0.43559999999999999</v>
          </cell>
          <cell r="U442">
            <v>0.39204</v>
          </cell>
          <cell r="V442">
            <v>0.35283599999999998</v>
          </cell>
          <cell r="W442">
            <v>0.31755240000000001</v>
          </cell>
        </row>
        <row r="443">
          <cell r="A443" t="str">
            <v>Kha</v>
          </cell>
          <cell r="C443">
            <v>0.69750000000000001</v>
          </cell>
          <cell r="D443">
            <v>0.69750000000000001</v>
          </cell>
          <cell r="E443">
            <v>0.69750000000000001</v>
          </cell>
          <cell r="F443">
            <v>0.69750000000000001</v>
          </cell>
          <cell r="G443">
            <v>0.69750000000000001</v>
          </cell>
          <cell r="H443">
            <v>0.69750000000000001</v>
          </cell>
          <cell r="I443">
            <v>0.69750000000000001</v>
          </cell>
          <cell r="J443">
            <v>0.69750000000000001</v>
          </cell>
          <cell r="K443">
            <v>0.69750000000000001</v>
          </cell>
          <cell r="L443">
            <v>0.69750000000000001</v>
          </cell>
          <cell r="M443">
            <v>0.69750000000000001</v>
          </cell>
          <cell r="N443">
            <v>0.69750000000000001</v>
          </cell>
          <cell r="P443">
            <v>0.62775000000000003</v>
          </cell>
          <cell r="Q443">
            <v>0.62775000000000003</v>
          </cell>
          <cell r="R443">
            <v>0.62775000000000003</v>
          </cell>
          <cell r="S443">
            <v>0.62775000000000003</v>
          </cell>
          <cell r="U443">
            <v>0.564975</v>
          </cell>
          <cell r="V443">
            <v>0.50847750000000003</v>
          </cell>
          <cell r="W443">
            <v>0.45762975000000006</v>
          </cell>
        </row>
        <row r="444">
          <cell r="A444" t="str">
            <v>Kra</v>
          </cell>
          <cell r="C444">
            <v>0.34050000000000002</v>
          </cell>
          <cell r="D444">
            <v>0.34050000000000002</v>
          </cell>
          <cell r="E444">
            <v>0.34050000000000002</v>
          </cell>
          <cell r="F444">
            <v>0.34050000000000002</v>
          </cell>
          <cell r="G444">
            <v>0.34050000000000002</v>
          </cell>
          <cell r="H444">
            <v>0.34050000000000002</v>
          </cell>
          <cell r="I444">
            <v>0.34050000000000002</v>
          </cell>
          <cell r="J444">
            <v>0.34050000000000002</v>
          </cell>
          <cell r="K444">
            <v>0.34050000000000002</v>
          </cell>
          <cell r="L444">
            <v>0.34050000000000002</v>
          </cell>
          <cell r="M444">
            <v>0.34050000000000002</v>
          </cell>
          <cell r="N444">
            <v>0.34050000000000002</v>
          </cell>
          <cell r="P444">
            <v>0.30645000000000006</v>
          </cell>
          <cell r="Q444">
            <v>0.30645000000000006</v>
          </cell>
          <cell r="R444">
            <v>0.30645000000000006</v>
          </cell>
          <cell r="S444">
            <v>0.30645000000000006</v>
          </cell>
          <cell r="U444">
            <v>0.27580500000000008</v>
          </cell>
          <cell r="V444">
            <v>0.24822450000000007</v>
          </cell>
          <cell r="W444">
            <v>0.22340205000000007</v>
          </cell>
        </row>
        <row r="445">
          <cell r="A445" t="str">
            <v>Niz</v>
          </cell>
          <cell r="C445">
            <v>0.34299999999999997</v>
          </cell>
          <cell r="D445">
            <v>0.34299999999999997</v>
          </cell>
          <cell r="E445">
            <v>0.34299999999999997</v>
          </cell>
          <cell r="F445">
            <v>0.34299999999999997</v>
          </cell>
          <cell r="G445">
            <v>0.34299999999999997</v>
          </cell>
          <cell r="H445">
            <v>0.34299999999999997</v>
          </cell>
          <cell r="I445">
            <v>0.34299999999999997</v>
          </cell>
          <cell r="J445">
            <v>0.34299999999999997</v>
          </cell>
          <cell r="K445">
            <v>0.34299999999999997</v>
          </cell>
          <cell r="L445">
            <v>0.34299999999999997</v>
          </cell>
          <cell r="M445">
            <v>0.34299999999999997</v>
          </cell>
          <cell r="N445">
            <v>0.34299999999999997</v>
          </cell>
          <cell r="P445">
            <v>0.30869999999999997</v>
          </cell>
          <cell r="Q445">
            <v>0.30869999999999997</v>
          </cell>
          <cell r="R445">
            <v>0.30869999999999997</v>
          </cell>
          <cell r="S445">
            <v>0.30869999999999997</v>
          </cell>
          <cell r="U445">
            <v>0.27782999999999997</v>
          </cell>
          <cell r="V445">
            <v>0.25004699999999996</v>
          </cell>
          <cell r="W445">
            <v>0.22504229999999997</v>
          </cell>
        </row>
        <row r="446">
          <cell r="A446" t="str">
            <v>Nov</v>
          </cell>
          <cell r="C446">
            <v>0.45498000000000005</v>
          </cell>
          <cell r="D446">
            <v>0.45498000000000005</v>
          </cell>
          <cell r="E446">
            <v>0.45498000000000005</v>
          </cell>
          <cell r="F446">
            <v>0.45498000000000005</v>
          </cell>
          <cell r="G446">
            <v>0.45498000000000005</v>
          </cell>
          <cell r="H446">
            <v>0.45498000000000005</v>
          </cell>
          <cell r="I446">
            <v>0.45498000000000005</v>
          </cell>
          <cell r="J446">
            <v>0.45498000000000005</v>
          </cell>
          <cell r="K446">
            <v>0.45498000000000005</v>
          </cell>
          <cell r="L446">
            <v>0.45498000000000005</v>
          </cell>
          <cell r="M446">
            <v>0.45498000000000005</v>
          </cell>
          <cell r="N446">
            <v>0.45498000000000005</v>
          </cell>
          <cell r="P446">
            <v>0.40948200000000007</v>
          </cell>
          <cell r="Q446">
            <v>0.40948200000000007</v>
          </cell>
          <cell r="R446">
            <v>0.40948200000000007</v>
          </cell>
          <cell r="S446">
            <v>0.40948200000000007</v>
          </cell>
          <cell r="U446">
            <v>0.36853380000000008</v>
          </cell>
          <cell r="V446">
            <v>0.33168042000000009</v>
          </cell>
          <cell r="W446">
            <v>0.29851237800000008</v>
          </cell>
        </row>
        <row r="447">
          <cell r="A447" t="str">
            <v>Syk</v>
          </cell>
          <cell r="C447">
            <v>0.42</v>
          </cell>
          <cell r="D447">
            <v>0.42</v>
          </cell>
          <cell r="E447">
            <v>0.42</v>
          </cell>
          <cell r="F447">
            <v>0.42</v>
          </cell>
          <cell r="G447">
            <v>0.42</v>
          </cell>
          <cell r="H447">
            <v>0.42</v>
          </cell>
          <cell r="I447">
            <v>0.42</v>
          </cell>
          <cell r="J447">
            <v>0.42</v>
          </cell>
          <cell r="K447">
            <v>0.42</v>
          </cell>
          <cell r="L447">
            <v>0.42</v>
          </cell>
          <cell r="M447">
            <v>0.42</v>
          </cell>
          <cell r="N447">
            <v>0.42</v>
          </cell>
          <cell r="P447">
            <v>0.378</v>
          </cell>
          <cell r="Q447">
            <v>0.378</v>
          </cell>
          <cell r="R447">
            <v>0.378</v>
          </cell>
          <cell r="S447">
            <v>0.378</v>
          </cell>
          <cell r="U447">
            <v>0.3402</v>
          </cell>
          <cell r="V447">
            <v>0.30618000000000001</v>
          </cell>
          <cell r="W447">
            <v>0.27556200000000003</v>
          </cell>
        </row>
        <row r="448">
          <cell r="A448" t="str">
            <v>Tyu</v>
          </cell>
          <cell r="C448">
            <v>0.42499999999999999</v>
          </cell>
          <cell r="D448">
            <v>0.42499999999999999</v>
          </cell>
          <cell r="E448">
            <v>0.42499999999999999</v>
          </cell>
          <cell r="F448">
            <v>0.42499999999999999</v>
          </cell>
          <cell r="G448">
            <v>0.42499999999999999</v>
          </cell>
          <cell r="H448">
            <v>0.42499999999999999</v>
          </cell>
          <cell r="I448">
            <v>0.42499999999999999</v>
          </cell>
          <cell r="J448">
            <v>0.42499999999999999</v>
          </cell>
          <cell r="K448">
            <v>0.42499999999999999</v>
          </cell>
          <cell r="L448">
            <v>0.42499999999999999</v>
          </cell>
          <cell r="M448">
            <v>0.42499999999999999</v>
          </cell>
          <cell r="N448">
            <v>0.42499999999999999</v>
          </cell>
          <cell r="P448">
            <v>0.38250000000000001</v>
          </cell>
          <cell r="Q448">
            <v>0.38250000000000001</v>
          </cell>
          <cell r="R448">
            <v>0.38250000000000001</v>
          </cell>
          <cell r="S448">
            <v>0.38250000000000001</v>
          </cell>
          <cell r="U448">
            <v>0.34425</v>
          </cell>
          <cell r="V448">
            <v>0.30982500000000002</v>
          </cell>
          <cell r="W448">
            <v>0.27884250000000005</v>
          </cell>
        </row>
        <row r="449">
          <cell r="A449" t="str">
            <v>Ufa</v>
          </cell>
          <cell r="C449">
            <v>0.38632</v>
          </cell>
          <cell r="D449">
            <v>0.38632</v>
          </cell>
          <cell r="E449">
            <v>0.38632</v>
          </cell>
          <cell r="F449">
            <v>0.38632</v>
          </cell>
          <cell r="G449">
            <v>0.38632</v>
          </cell>
          <cell r="H449">
            <v>0.38632</v>
          </cell>
          <cell r="I449">
            <v>0.38632</v>
          </cell>
          <cell r="J449">
            <v>0.38632</v>
          </cell>
          <cell r="K449">
            <v>0.38632</v>
          </cell>
          <cell r="L449">
            <v>0.38632</v>
          </cell>
          <cell r="M449">
            <v>0.38632</v>
          </cell>
          <cell r="N449">
            <v>0.38632</v>
          </cell>
          <cell r="P449">
            <v>0.347688</v>
          </cell>
          <cell r="Q449">
            <v>0.347688</v>
          </cell>
          <cell r="R449">
            <v>0.347688</v>
          </cell>
          <cell r="S449">
            <v>0.347688</v>
          </cell>
          <cell r="U449">
            <v>0.31291920000000001</v>
          </cell>
          <cell r="V449">
            <v>0.28162728000000004</v>
          </cell>
          <cell r="W449">
            <v>0.25346455200000007</v>
          </cell>
        </row>
        <row r="450">
          <cell r="A450" t="str">
            <v>Vla</v>
          </cell>
          <cell r="C450">
            <v>0.52791500000000002</v>
          </cell>
          <cell r="D450">
            <v>0.52791500000000002</v>
          </cell>
          <cell r="E450">
            <v>0.52791500000000002</v>
          </cell>
          <cell r="F450">
            <v>0.52791500000000002</v>
          </cell>
          <cell r="G450">
            <v>0.52791500000000002</v>
          </cell>
          <cell r="H450">
            <v>0.52791500000000002</v>
          </cell>
          <cell r="I450">
            <v>0.52791500000000002</v>
          </cell>
          <cell r="J450">
            <v>0.52791500000000002</v>
          </cell>
          <cell r="K450">
            <v>0.52791500000000002</v>
          </cell>
          <cell r="L450">
            <v>0.52791500000000002</v>
          </cell>
          <cell r="M450">
            <v>0.52791500000000002</v>
          </cell>
          <cell r="N450">
            <v>0.52791500000000002</v>
          </cell>
          <cell r="P450">
            <v>0.47512350000000003</v>
          </cell>
          <cell r="Q450">
            <v>0.47512350000000003</v>
          </cell>
          <cell r="R450">
            <v>0.47512350000000003</v>
          </cell>
          <cell r="S450">
            <v>0.47512350000000003</v>
          </cell>
          <cell r="U450">
            <v>0.42761115000000005</v>
          </cell>
          <cell r="V450">
            <v>0.38485003500000003</v>
          </cell>
          <cell r="W450">
            <v>0.34636503150000003</v>
          </cell>
        </row>
        <row r="451">
          <cell r="A451" t="str">
            <v>Vol</v>
          </cell>
          <cell r="C451">
            <v>0.47226659999999998</v>
          </cell>
          <cell r="D451">
            <v>0.47226659999999998</v>
          </cell>
          <cell r="E451">
            <v>0.47226659999999998</v>
          </cell>
          <cell r="F451">
            <v>0.47226659999999998</v>
          </cell>
          <cell r="G451">
            <v>0.47226659999999998</v>
          </cell>
          <cell r="H451">
            <v>0.47226659999999998</v>
          </cell>
          <cell r="I451">
            <v>0.47226659999999998</v>
          </cell>
          <cell r="J451">
            <v>0.47226659999999998</v>
          </cell>
          <cell r="K451">
            <v>0.47226659999999998</v>
          </cell>
          <cell r="L451">
            <v>0.47226659999999998</v>
          </cell>
          <cell r="M451">
            <v>0.47226659999999998</v>
          </cell>
          <cell r="N451">
            <v>0.47226659999999998</v>
          </cell>
          <cell r="P451">
            <v>0.42503994</v>
          </cell>
          <cell r="Q451">
            <v>0.42503994</v>
          </cell>
          <cell r="R451">
            <v>0.42503994</v>
          </cell>
          <cell r="S451">
            <v>0.42503994</v>
          </cell>
          <cell r="U451">
            <v>0.38253594600000002</v>
          </cell>
          <cell r="V451">
            <v>0.34428235140000002</v>
          </cell>
          <cell r="W451">
            <v>0.30985411626000003</v>
          </cell>
        </row>
        <row r="452">
          <cell r="A452" t="str">
            <v>Vor</v>
          </cell>
          <cell r="C452">
            <v>0.34050000000000002</v>
          </cell>
          <cell r="D452">
            <v>0.34050000000000002</v>
          </cell>
          <cell r="E452">
            <v>0.34050000000000002</v>
          </cell>
          <cell r="F452">
            <v>0.34050000000000002</v>
          </cell>
          <cell r="G452">
            <v>0.34050000000000002</v>
          </cell>
          <cell r="H452">
            <v>0.34050000000000002</v>
          </cell>
          <cell r="I452">
            <v>0.34050000000000002</v>
          </cell>
          <cell r="J452">
            <v>0.34050000000000002</v>
          </cell>
          <cell r="K452">
            <v>0.34050000000000002</v>
          </cell>
          <cell r="L452">
            <v>0.34050000000000002</v>
          </cell>
          <cell r="M452">
            <v>0.34050000000000002</v>
          </cell>
          <cell r="N452">
            <v>0.34050000000000002</v>
          </cell>
          <cell r="P452">
            <v>0.30645000000000006</v>
          </cell>
          <cell r="Q452">
            <v>0.30645000000000006</v>
          </cell>
          <cell r="R452">
            <v>0.30645000000000006</v>
          </cell>
          <cell r="S452">
            <v>0.30645000000000006</v>
          </cell>
          <cell r="U452">
            <v>0.27580500000000008</v>
          </cell>
          <cell r="V452">
            <v>0.24822450000000007</v>
          </cell>
          <cell r="W452">
            <v>0.22340205000000007</v>
          </cell>
        </row>
        <row r="453">
          <cell r="A453" t="str">
            <v>97#1</v>
          </cell>
          <cell r="C453">
            <v>0.47226659999999998</v>
          </cell>
          <cell r="D453">
            <v>0.47226659999999998</v>
          </cell>
          <cell r="E453">
            <v>0.47226659999999998</v>
          </cell>
          <cell r="F453">
            <v>0.47226659999999998</v>
          </cell>
          <cell r="G453">
            <v>0.47226659999999998</v>
          </cell>
          <cell r="H453">
            <v>0.47226659999999998</v>
          </cell>
          <cell r="I453">
            <v>0.47226659999999998</v>
          </cell>
          <cell r="J453">
            <v>0.47226659999999998</v>
          </cell>
          <cell r="K453">
            <v>0.47226659999999998</v>
          </cell>
          <cell r="L453">
            <v>0.47226659999999998</v>
          </cell>
          <cell r="M453">
            <v>0.47226659999999998</v>
          </cell>
          <cell r="N453">
            <v>0.47226659999999998</v>
          </cell>
          <cell r="P453">
            <v>0.42503994</v>
          </cell>
          <cell r="Q453">
            <v>0.42503994</v>
          </cell>
          <cell r="R453">
            <v>0.42503994</v>
          </cell>
          <cell r="S453">
            <v>0.42503994</v>
          </cell>
          <cell r="U453">
            <v>0.38253594600000002</v>
          </cell>
          <cell r="V453">
            <v>0.34428235140000002</v>
          </cell>
          <cell r="W453">
            <v>0.30985411626000003</v>
          </cell>
        </row>
        <row r="454">
          <cell r="A454" t="str">
            <v>97#2</v>
          </cell>
          <cell r="C454">
            <v>0.47226659999999998</v>
          </cell>
          <cell r="D454">
            <v>0.47226659999999998</v>
          </cell>
          <cell r="E454">
            <v>0.47226659999999998</v>
          </cell>
          <cell r="F454">
            <v>0.47226659999999998</v>
          </cell>
          <cell r="G454">
            <v>0.47226659999999998</v>
          </cell>
          <cell r="H454">
            <v>0.47226659999999998</v>
          </cell>
          <cell r="I454">
            <v>0.47226659999999998</v>
          </cell>
          <cell r="J454">
            <v>0.47226659999999998</v>
          </cell>
          <cell r="K454">
            <v>0.47226659999999998</v>
          </cell>
          <cell r="L454">
            <v>0.47226659999999998</v>
          </cell>
          <cell r="M454">
            <v>0.47226659999999998</v>
          </cell>
          <cell r="N454">
            <v>0.47226659999999998</v>
          </cell>
          <cell r="P454">
            <v>0.42503994</v>
          </cell>
          <cell r="Q454">
            <v>0.42503994</v>
          </cell>
          <cell r="R454">
            <v>0.42503994</v>
          </cell>
          <cell r="S454">
            <v>0.42503994</v>
          </cell>
          <cell r="U454">
            <v>0.38253594600000002</v>
          </cell>
          <cell r="V454">
            <v>0.34428235140000002</v>
          </cell>
          <cell r="W454">
            <v>0.30985411626000003</v>
          </cell>
        </row>
        <row r="455">
          <cell r="A455" t="str">
            <v>98#1</v>
          </cell>
          <cell r="C455">
            <v>0.47226659999999998</v>
          </cell>
          <cell r="D455">
            <v>0.47226659999999998</v>
          </cell>
          <cell r="E455">
            <v>0.47226659999999998</v>
          </cell>
          <cell r="F455">
            <v>0.47226659999999998</v>
          </cell>
          <cell r="G455">
            <v>0.47226659999999998</v>
          </cell>
          <cell r="H455">
            <v>0.47226659999999998</v>
          </cell>
          <cell r="I455">
            <v>0.47226659999999998</v>
          </cell>
          <cell r="J455">
            <v>0.47226659999999998</v>
          </cell>
          <cell r="K455">
            <v>0.47226659999999998</v>
          </cell>
          <cell r="L455">
            <v>0.47226659999999998</v>
          </cell>
          <cell r="M455">
            <v>0.47226659999999998</v>
          </cell>
          <cell r="N455">
            <v>0.47226659999999998</v>
          </cell>
          <cell r="P455">
            <v>0.42503994</v>
          </cell>
          <cell r="Q455">
            <v>0.42503994</v>
          </cell>
          <cell r="R455">
            <v>0.42503994</v>
          </cell>
          <cell r="S455">
            <v>0.42503994</v>
          </cell>
          <cell r="U455">
            <v>0.38253594600000002</v>
          </cell>
          <cell r="V455">
            <v>0.34428235140000002</v>
          </cell>
          <cell r="W455">
            <v>0.30985411626000003</v>
          </cell>
        </row>
        <row r="456">
          <cell r="A456" t="str">
            <v>98#2</v>
          </cell>
          <cell r="C456">
            <v>0.47226659999999998</v>
          </cell>
          <cell r="D456">
            <v>0.47226659999999998</v>
          </cell>
          <cell r="E456">
            <v>0.47226659999999998</v>
          </cell>
          <cell r="F456">
            <v>0.47226659999999998</v>
          </cell>
          <cell r="G456">
            <v>0.47226659999999998</v>
          </cell>
          <cell r="H456">
            <v>0.47226659999999998</v>
          </cell>
          <cell r="I456">
            <v>0.47226659999999998</v>
          </cell>
          <cell r="J456">
            <v>0.47226659999999998</v>
          </cell>
          <cell r="K456">
            <v>0.47226659999999998</v>
          </cell>
          <cell r="L456">
            <v>0.47226659999999998</v>
          </cell>
          <cell r="M456">
            <v>0.47226659999999998</v>
          </cell>
          <cell r="N456">
            <v>0.47226659999999998</v>
          </cell>
          <cell r="P456">
            <v>0.42503994</v>
          </cell>
          <cell r="Q456">
            <v>0.42503994</v>
          </cell>
          <cell r="R456">
            <v>0.42503994</v>
          </cell>
          <cell r="S456">
            <v>0.42503994</v>
          </cell>
          <cell r="U456">
            <v>0.38253594600000002</v>
          </cell>
          <cell r="V456">
            <v>0.34428235140000002</v>
          </cell>
          <cell r="W456">
            <v>0.30985411626000003</v>
          </cell>
        </row>
        <row r="457">
          <cell r="A457" t="str">
            <v>Mos</v>
          </cell>
          <cell r="C457">
            <v>0.52791500000000002</v>
          </cell>
          <cell r="D457">
            <v>0.52791500000000002</v>
          </cell>
          <cell r="E457">
            <v>0.52791500000000002</v>
          </cell>
          <cell r="F457">
            <v>0.52791500000000002</v>
          </cell>
          <cell r="G457">
            <v>0.52791500000000002</v>
          </cell>
          <cell r="H457">
            <v>0.52791500000000002</v>
          </cell>
          <cell r="I457">
            <v>0.52791500000000002</v>
          </cell>
          <cell r="J457">
            <v>0.52791500000000002</v>
          </cell>
          <cell r="K457">
            <v>0.52791500000000002</v>
          </cell>
          <cell r="L457">
            <v>0.52791500000000002</v>
          </cell>
          <cell r="M457">
            <v>0.52791500000000002</v>
          </cell>
          <cell r="N457">
            <v>0.52791500000000002</v>
          </cell>
          <cell r="P457">
            <v>0.47512350000000003</v>
          </cell>
          <cell r="Q457">
            <v>0.47512350000000003</v>
          </cell>
          <cell r="R457">
            <v>0.47512350000000003</v>
          </cell>
          <cell r="S457">
            <v>0.47512350000000003</v>
          </cell>
          <cell r="U457">
            <v>0.42761115000000005</v>
          </cell>
          <cell r="V457">
            <v>0.38485003500000003</v>
          </cell>
          <cell r="W457">
            <v>0.34636503150000003</v>
          </cell>
        </row>
        <row r="458">
          <cell r="A458" t="str">
            <v>Con</v>
          </cell>
          <cell r="C458">
            <v>1.1499999999999999</v>
          </cell>
          <cell r="D458">
            <v>1.1499999999999999</v>
          </cell>
          <cell r="E458">
            <v>1.1499999999999999</v>
          </cell>
          <cell r="F458">
            <v>1.1499999999999999</v>
          </cell>
          <cell r="G458">
            <v>1.1499999999999999</v>
          </cell>
          <cell r="H458">
            <v>1.1499999999999999</v>
          </cell>
          <cell r="I458">
            <v>1.1499999999999999</v>
          </cell>
          <cell r="J458">
            <v>1.1499999999999999</v>
          </cell>
          <cell r="K458">
            <v>1.1499999999999999</v>
          </cell>
          <cell r="L458">
            <v>1.1499999999999999</v>
          </cell>
          <cell r="M458">
            <v>1.1499999999999999</v>
          </cell>
          <cell r="N458">
            <v>1.1499999999999999</v>
          </cell>
          <cell r="P458">
            <v>1.1036423076923079</v>
          </cell>
          <cell r="Q458">
            <v>1.1036423076923079</v>
          </cell>
          <cell r="R458">
            <v>1.1036423076923079</v>
          </cell>
          <cell r="S458">
            <v>1.1036423076923079</v>
          </cell>
          <cell r="U458">
            <v>0.99327807692307712</v>
          </cell>
          <cell r="V458">
            <v>0.89395026923076948</v>
          </cell>
          <cell r="W458">
            <v>0.8045552423076926</v>
          </cell>
        </row>
        <row r="460">
          <cell r="A460" t="str">
            <v>WAC Number of international min. per card</v>
          </cell>
        </row>
        <row r="461">
          <cell r="B461">
            <v>35765</v>
          </cell>
          <cell r="C461">
            <v>35796</v>
          </cell>
          <cell r="D461">
            <v>35827</v>
          </cell>
          <cell r="E461">
            <v>35855</v>
          </cell>
          <cell r="F461">
            <v>35886</v>
          </cell>
          <cell r="G461">
            <v>35916</v>
          </cell>
          <cell r="H461">
            <v>35947</v>
          </cell>
          <cell r="I461">
            <v>35977</v>
          </cell>
          <cell r="J461">
            <v>36008</v>
          </cell>
          <cell r="K461">
            <v>36039</v>
          </cell>
          <cell r="L461">
            <v>36069</v>
          </cell>
          <cell r="M461">
            <v>36100</v>
          </cell>
          <cell r="N461">
            <v>36130</v>
          </cell>
          <cell r="O461" t="str">
            <v>Total 98</v>
          </cell>
          <cell r="P461" t="str">
            <v>Q1-99</v>
          </cell>
          <cell r="Q461" t="str">
            <v>Q2-99</v>
          </cell>
          <cell r="R461" t="str">
            <v>Q3-99</v>
          </cell>
          <cell r="S461" t="str">
            <v>Q4-99</v>
          </cell>
          <cell r="T461" t="str">
            <v>Total 99</v>
          </cell>
          <cell r="U461">
            <v>2000</v>
          </cell>
          <cell r="V461">
            <v>2001</v>
          </cell>
          <cell r="W461">
            <v>2002</v>
          </cell>
        </row>
        <row r="462">
          <cell r="A462" t="str">
            <v>Ark</v>
          </cell>
          <cell r="B462">
            <v>4</v>
          </cell>
          <cell r="C462">
            <v>2</v>
          </cell>
          <cell r="D462">
            <v>2</v>
          </cell>
          <cell r="E462">
            <v>2</v>
          </cell>
          <cell r="F462">
            <v>2</v>
          </cell>
          <cell r="G462">
            <v>2</v>
          </cell>
          <cell r="H462">
            <v>2</v>
          </cell>
          <cell r="I462">
            <v>2</v>
          </cell>
          <cell r="J462">
            <v>2</v>
          </cell>
          <cell r="K462">
            <v>2</v>
          </cell>
          <cell r="L462">
            <v>2</v>
          </cell>
          <cell r="M462">
            <v>2</v>
          </cell>
          <cell r="N462">
            <v>2</v>
          </cell>
          <cell r="P462">
            <v>2</v>
          </cell>
          <cell r="Q462">
            <v>2</v>
          </cell>
          <cell r="R462">
            <v>2</v>
          </cell>
          <cell r="S462">
            <v>2</v>
          </cell>
          <cell r="U462">
            <v>2</v>
          </cell>
          <cell r="V462">
            <v>2</v>
          </cell>
          <cell r="W462">
            <v>2</v>
          </cell>
        </row>
        <row r="463">
          <cell r="A463" t="str">
            <v>Eka</v>
          </cell>
          <cell r="B463">
            <v>9</v>
          </cell>
          <cell r="C463">
            <v>5</v>
          </cell>
          <cell r="D463">
            <v>5</v>
          </cell>
          <cell r="E463">
            <v>5</v>
          </cell>
          <cell r="F463">
            <v>5</v>
          </cell>
          <cell r="G463">
            <v>5</v>
          </cell>
          <cell r="H463">
            <v>5</v>
          </cell>
          <cell r="I463">
            <v>5</v>
          </cell>
          <cell r="J463">
            <v>5</v>
          </cell>
          <cell r="K463">
            <v>5</v>
          </cell>
          <cell r="L463">
            <v>5</v>
          </cell>
          <cell r="M463">
            <v>5</v>
          </cell>
          <cell r="N463">
            <v>5</v>
          </cell>
          <cell r="P463">
            <v>5</v>
          </cell>
          <cell r="Q463">
            <v>5</v>
          </cell>
          <cell r="R463">
            <v>5</v>
          </cell>
          <cell r="S463">
            <v>5</v>
          </cell>
          <cell r="U463">
            <v>5</v>
          </cell>
          <cell r="V463">
            <v>5</v>
          </cell>
          <cell r="W463">
            <v>5</v>
          </cell>
        </row>
        <row r="464">
          <cell r="A464" t="str">
            <v>Irk</v>
          </cell>
          <cell r="B464">
            <v>2</v>
          </cell>
          <cell r="C464">
            <v>2</v>
          </cell>
          <cell r="D464">
            <v>2</v>
          </cell>
          <cell r="E464">
            <v>2</v>
          </cell>
          <cell r="F464">
            <v>2</v>
          </cell>
          <cell r="G464">
            <v>2</v>
          </cell>
          <cell r="H464">
            <v>2</v>
          </cell>
          <cell r="I464">
            <v>2</v>
          </cell>
          <cell r="J464">
            <v>2</v>
          </cell>
          <cell r="K464">
            <v>2</v>
          </cell>
          <cell r="L464">
            <v>2</v>
          </cell>
          <cell r="M464">
            <v>2</v>
          </cell>
          <cell r="N464">
            <v>2</v>
          </cell>
          <cell r="P464">
            <v>2</v>
          </cell>
          <cell r="Q464">
            <v>2</v>
          </cell>
          <cell r="R464">
            <v>2</v>
          </cell>
          <cell r="S464">
            <v>2</v>
          </cell>
          <cell r="U464">
            <v>2</v>
          </cell>
          <cell r="V464">
            <v>2</v>
          </cell>
          <cell r="W464">
            <v>2</v>
          </cell>
        </row>
        <row r="465">
          <cell r="A465" t="str">
            <v>Kha</v>
          </cell>
          <cell r="B465">
            <v>3</v>
          </cell>
          <cell r="C465">
            <v>3</v>
          </cell>
          <cell r="D465">
            <v>3</v>
          </cell>
          <cell r="E465">
            <v>3</v>
          </cell>
          <cell r="F465">
            <v>3</v>
          </cell>
          <cell r="G465">
            <v>3</v>
          </cell>
          <cell r="H465">
            <v>3</v>
          </cell>
          <cell r="I465">
            <v>3</v>
          </cell>
          <cell r="J465">
            <v>3</v>
          </cell>
          <cell r="K465">
            <v>3</v>
          </cell>
          <cell r="L465">
            <v>3</v>
          </cell>
          <cell r="M465">
            <v>3</v>
          </cell>
          <cell r="N465">
            <v>3</v>
          </cell>
          <cell r="P465">
            <v>3</v>
          </cell>
          <cell r="Q465">
            <v>3</v>
          </cell>
          <cell r="R465">
            <v>3</v>
          </cell>
          <cell r="S465">
            <v>3</v>
          </cell>
          <cell r="U465">
            <v>3</v>
          </cell>
          <cell r="V465">
            <v>3</v>
          </cell>
          <cell r="W465">
            <v>3</v>
          </cell>
        </row>
        <row r="466">
          <cell r="A466" t="str">
            <v>Kra</v>
          </cell>
          <cell r="B466">
            <v>1</v>
          </cell>
          <cell r="C466">
            <v>1.5</v>
          </cell>
          <cell r="D466">
            <v>1.5</v>
          </cell>
          <cell r="E466">
            <v>1.5</v>
          </cell>
          <cell r="F466">
            <v>1.5</v>
          </cell>
          <cell r="G466">
            <v>2</v>
          </cell>
          <cell r="H466">
            <v>2</v>
          </cell>
          <cell r="I466">
            <v>2</v>
          </cell>
          <cell r="J466">
            <v>2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P466">
            <v>2</v>
          </cell>
          <cell r="Q466">
            <v>2</v>
          </cell>
          <cell r="R466">
            <v>2</v>
          </cell>
          <cell r="S466">
            <v>2</v>
          </cell>
          <cell r="U466">
            <v>2</v>
          </cell>
          <cell r="V466">
            <v>2</v>
          </cell>
          <cell r="W466">
            <v>2</v>
          </cell>
        </row>
        <row r="467">
          <cell r="A467" t="str">
            <v>Niz</v>
          </cell>
          <cell r="B467">
            <v>0</v>
          </cell>
          <cell r="C467">
            <v>2</v>
          </cell>
          <cell r="D467">
            <v>2</v>
          </cell>
          <cell r="E467">
            <v>2</v>
          </cell>
          <cell r="F467">
            <v>2</v>
          </cell>
          <cell r="G467">
            <v>2</v>
          </cell>
          <cell r="H467">
            <v>2</v>
          </cell>
          <cell r="I467">
            <v>5</v>
          </cell>
          <cell r="J467">
            <v>5</v>
          </cell>
          <cell r="K467">
            <v>5</v>
          </cell>
          <cell r="L467">
            <v>5</v>
          </cell>
          <cell r="M467">
            <v>5</v>
          </cell>
          <cell r="N467">
            <v>5</v>
          </cell>
          <cell r="P467">
            <v>5</v>
          </cell>
          <cell r="Q467">
            <v>5</v>
          </cell>
          <cell r="R467">
            <v>5</v>
          </cell>
          <cell r="S467">
            <v>5</v>
          </cell>
          <cell r="U467">
            <v>5</v>
          </cell>
          <cell r="V467">
            <v>5</v>
          </cell>
          <cell r="W467">
            <v>5</v>
          </cell>
        </row>
        <row r="468">
          <cell r="A468" t="str">
            <v>Nov</v>
          </cell>
          <cell r="B468">
            <v>3</v>
          </cell>
          <cell r="C468">
            <v>2</v>
          </cell>
          <cell r="D468">
            <v>2</v>
          </cell>
          <cell r="E468">
            <v>2</v>
          </cell>
          <cell r="F468">
            <v>3</v>
          </cell>
          <cell r="G468">
            <v>3</v>
          </cell>
          <cell r="H468">
            <v>3</v>
          </cell>
          <cell r="I468">
            <v>3</v>
          </cell>
          <cell r="J468">
            <v>3</v>
          </cell>
          <cell r="K468">
            <v>4</v>
          </cell>
          <cell r="L468">
            <v>4</v>
          </cell>
          <cell r="M468">
            <v>4</v>
          </cell>
          <cell r="N468">
            <v>4</v>
          </cell>
          <cell r="P468">
            <v>4</v>
          </cell>
          <cell r="Q468">
            <v>4</v>
          </cell>
          <cell r="R468">
            <v>4</v>
          </cell>
          <cell r="S468">
            <v>4</v>
          </cell>
          <cell r="U468">
            <v>4</v>
          </cell>
          <cell r="V468">
            <v>4</v>
          </cell>
          <cell r="W468">
            <v>4</v>
          </cell>
        </row>
        <row r="469">
          <cell r="A469" t="str">
            <v>Syk</v>
          </cell>
          <cell r="B469">
            <v>1</v>
          </cell>
          <cell r="C469">
            <v>2</v>
          </cell>
          <cell r="D469">
            <v>2</v>
          </cell>
          <cell r="E469">
            <v>2</v>
          </cell>
          <cell r="F469">
            <v>2</v>
          </cell>
          <cell r="G469">
            <v>2</v>
          </cell>
          <cell r="H469">
            <v>2</v>
          </cell>
          <cell r="I469">
            <v>2</v>
          </cell>
          <cell r="J469">
            <v>2</v>
          </cell>
          <cell r="K469">
            <v>2</v>
          </cell>
          <cell r="L469">
            <v>2</v>
          </cell>
          <cell r="M469">
            <v>2</v>
          </cell>
          <cell r="N469">
            <v>2</v>
          </cell>
          <cell r="P469">
            <v>2</v>
          </cell>
          <cell r="Q469">
            <v>2</v>
          </cell>
          <cell r="R469">
            <v>2</v>
          </cell>
          <cell r="S469">
            <v>2</v>
          </cell>
          <cell r="U469">
            <v>2</v>
          </cell>
          <cell r="V469">
            <v>2</v>
          </cell>
          <cell r="W469">
            <v>2</v>
          </cell>
        </row>
        <row r="470">
          <cell r="A470" t="str">
            <v>Tyu</v>
          </cell>
          <cell r="B470">
            <v>3</v>
          </cell>
          <cell r="C470">
            <v>2</v>
          </cell>
          <cell r="D470">
            <v>2</v>
          </cell>
          <cell r="E470">
            <v>2</v>
          </cell>
          <cell r="F470">
            <v>2</v>
          </cell>
          <cell r="G470">
            <v>2</v>
          </cell>
          <cell r="H470">
            <v>2</v>
          </cell>
          <cell r="I470">
            <v>2</v>
          </cell>
          <cell r="J470">
            <v>2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P470">
            <v>2</v>
          </cell>
          <cell r="Q470">
            <v>2</v>
          </cell>
          <cell r="R470">
            <v>2</v>
          </cell>
          <cell r="S470">
            <v>2</v>
          </cell>
          <cell r="U470">
            <v>2</v>
          </cell>
          <cell r="V470">
            <v>2</v>
          </cell>
          <cell r="W470">
            <v>2</v>
          </cell>
        </row>
        <row r="471">
          <cell r="A471" t="str">
            <v>Ufa</v>
          </cell>
          <cell r="B471">
            <v>4</v>
          </cell>
          <cell r="C471">
            <v>2</v>
          </cell>
          <cell r="D471">
            <v>2</v>
          </cell>
          <cell r="E471">
            <v>2</v>
          </cell>
          <cell r="F471">
            <v>2</v>
          </cell>
          <cell r="G471">
            <v>2</v>
          </cell>
          <cell r="H471">
            <v>2</v>
          </cell>
          <cell r="I471">
            <v>2.5</v>
          </cell>
          <cell r="J471">
            <v>2.5</v>
          </cell>
          <cell r="K471">
            <v>2.5</v>
          </cell>
          <cell r="L471">
            <v>2.5</v>
          </cell>
          <cell r="M471">
            <v>2.5</v>
          </cell>
          <cell r="N471">
            <v>2.5</v>
          </cell>
          <cell r="P471">
            <v>2.5</v>
          </cell>
          <cell r="Q471">
            <v>2.5</v>
          </cell>
          <cell r="R471">
            <v>2.5</v>
          </cell>
          <cell r="S471">
            <v>2.5</v>
          </cell>
          <cell r="U471">
            <v>2.5</v>
          </cell>
          <cell r="V471">
            <v>2.5</v>
          </cell>
          <cell r="W471">
            <v>2.5</v>
          </cell>
        </row>
        <row r="472">
          <cell r="A472" t="str">
            <v>Vla</v>
          </cell>
          <cell r="B472">
            <v>9</v>
          </cell>
          <cell r="C472">
            <v>7</v>
          </cell>
          <cell r="D472">
            <v>7</v>
          </cell>
          <cell r="E472">
            <v>7</v>
          </cell>
          <cell r="F472">
            <v>7</v>
          </cell>
          <cell r="G472">
            <v>7</v>
          </cell>
          <cell r="H472">
            <v>7</v>
          </cell>
          <cell r="I472">
            <v>7</v>
          </cell>
          <cell r="J472">
            <v>7</v>
          </cell>
          <cell r="K472">
            <v>7</v>
          </cell>
          <cell r="L472">
            <v>7</v>
          </cell>
          <cell r="M472">
            <v>7</v>
          </cell>
          <cell r="N472">
            <v>7</v>
          </cell>
          <cell r="P472">
            <v>7</v>
          </cell>
          <cell r="Q472">
            <v>7</v>
          </cell>
          <cell r="R472">
            <v>7</v>
          </cell>
          <cell r="S472">
            <v>7</v>
          </cell>
          <cell r="U472">
            <v>7</v>
          </cell>
          <cell r="V472">
            <v>7</v>
          </cell>
          <cell r="W472">
            <v>7</v>
          </cell>
        </row>
        <row r="473">
          <cell r="A473" t="str">
            <v>Vol</v>
          </cell>
          <cell r="B473">
            <v>1</v>
          </cell>
          <cell r="C473">
            <v>1</v>
          </cell>
          <cell r="D473">
            <v>1</v>
          </cell>
          <cell r="E473">
            <v>1</v>
          </cell>
          <cell r="F473">
            <v>1</v>
          </cell>
          <cell r="G473">
            <v>1</v>
          </cell>
          <cell r="H473">
            <v>1</v>
          </cell>
          <cell r="I473">
            <v>1</v>
          </cell>
          <cell r="J473">
            <v>1</v>
          </cell>
          <cell r="K473">
            <v>1</v>
          </cell>
          <cell r="L473">
            <v>1</v>
          </cell>
          <cell r="M473">
            <v>1</v>
          </cell>
          <cell r="N473">
            <v>7</v>
          </cell>
          <cell r="P473">
            <v>7</v>
          </cell>
          <cell r="Q473">
            <v>7</v>
          </cell>
          <cell r="R473">
            <v>7</v>
          </cell>
          <cell r="S473">
            <v>7</v>
          </cell>
          <cell r="U473">
            <v>7</v>
          </cell>
          <cell r="V473">
            <v>7</v>
          </cell>
          <cell r="W473">
            <v>7</v>
          </cell>
        </row>
        <row r="474">
          <cell r="A474" t="str">
            <v>Vor</v>
          </cell>
          <cell r="B474">
            <v>1</v>
          </cell>
          <cell r="C474">
            <v>3</v>
          </cell>
          <cell r="D474">
            <v>3</v>
          </cell>
          <cell r="E474">
            <v>3</v>
          </cell>
          <cell r="F474">
            <v>3</v>
          </cell>
          <cell r="G474">
            <v>3</v>
          </cell>
          <cell r="H474">
            <v>3</v>
          </cell>
          <cell r="I474">
            <v>3</v>
          </cell>
          <cell r="J474">
            <v>3</v>
          </cell>
          <cell r="K474">
            <v>3</v>
          </cell>
          <cell r="L474">
            <v>3</v>
          </cell>
          <cell r="M474">
            <v>3</v>
          </cell>
          <cell r="N474">
            <v>3</v>
          </cell>
          <cell r="P474">
            <v>3</v>
          </cell>
          <cell r="Q474">
            <v>3</v>
          </cell>
          <cell r="R474">
            <v>3</v>
          </cell>
          <cell r="S474">
            <v>3</v>
          </cell>
          <cell r="U474">
            <v>3</v>
          </cell>
          <cell r="V474">
            <v>3</v>
          </cell>
          <cell r="W474">
            <v>3</v>
          </cell>
        </row>
        <row r="475">
          <cell r="A475" t="str">
            <v>97#1</v>
          </cell>
          <cell r="C475">
            <v>1</v>
          </cell>
          <cell r="D475">
            <v>1</v>
          </cell>
          <cell r="E475">
            <v>1</v>
          </cell>
          <cell r="F475">
            <v>1</v>
          </cell>
          <cell r="G475">
            <v>1</v>
          </cell>
          <cell r="H475">
            <v>1</v>
          </cell>
          <cell r="I475">
            <v>1</v>
          </cell>
          <cell r="J475">
            <v>1</v>
          </cell>
          <cell r="K475">
            <v>1</v>
          </cell>
          <cell r="L475">
            <v>1</v>
          </cell>
          <cell r="M475">
            <v>1</v>
          </cell>
          <cell r="N475">
            <v>1</v>
          </cell>
          <cell r="P475">
            <v>1</v>
          </cell>
          <cell r="Q475">
            <v>1</v>
          </cell>
          <cell r="R475">
            <v>1</v>
          </cell>
          <cell r="S475">
            <v>1</v>
          </cell>
          <cell r="U475">
            <v>1</v>
          </cell>
          <cell r="V475">
            <v>1</v>
          </cell>
          <cell r="W475">
            <v>1</v>
          </cell>
        </row>
        <row r="476">
          <cell r="A476" t="str">
            <v>97#2</v>
          </cell>
          <cell r="C476">
            <v>2</v>
          </cell>
          <cell r="D476">
            <v>2</v>
          </cell>
          <cell r="E476">
            <v>2</v>
          </cell>
          <cell r="F476">
            <v>2</v>
          </cell>
          <cell r="G476">
            <v>2</v>
          </cell>
          <cell r="H476">
            <v>2</v>
          </cell>
          <cell r="I476">
            <v>2</v>
          </cell>
          <cell r="J476">
            <v>2</v>
          </cell>
          <cell r="K476">
            <v>2</v>
          </cell>
          <cell r="L476">
            <v>2</v>
          </cell>
          <cell r="M476">
            <v>2</v>
          </cell>
          <cell r="N476">
            <v>2</v>
          </cell>
          <cell r="P476">
            <v>2</v>
          </cell>
          <cell r="Q476">
            <v>2</v>
          </cell>
          <cell r="R476">
            <v>2</v>
          </cell>
          <cell r="S476">
            <v>2</v>
          </cell>
          <cell r="U476">
            <v>2</v>
          </cell>
          <cell r="V476">
            <v>2</v>
          </cell>
          <cell r="W476">
            <v>2</v>
          </cell>
        </row>
        <row r="477">
          <cell r="A477" t="str">
            <v>98#1</v>
          </cell>
          <cell r="C477">
            <v>2</v>
          </cell>
          <cell r="D477">
            <v>2</v>
          </cell>
          <cell r="E477">
            <v>2</v>
          </cell>
          <cell r="F477">
            <v>2</v>
          </cell>
          <cell r="G477">
            <v>2</v>
          </cell>
          <cell r="H477">
            <v>2</v>
          </cell>
          <cell r="I477">
            <v>2</v>
          </cell>
          <cell r="J477">
            <v>2</v>
          </cell>
          <cell r="K477">
            <v>2</v>
          </cell>
          <cell r="L477">
            <v>2</v>
          </cell>
          <cell r="M477">
            <v>2</v>
          </cell>
          <cell r="N477">
            <v>2</v>
          </cell>
          <cell r="P477">
            <v>2</v>
          </cell>
          <cell r="Q477">
            <v>2</v>
          </cell>
          <cell r="R477">
            <v>2</v>
          </cell>
          <cell r="S477">
            <v>2</v>
          </cell>
          <cell r="U477">
            <v>2</v>
          </cell>
          <cell r="V477">
            <v>2</v>
          </cell>
          <cell r="W477">
            <v>2</v>
          </cell>
        </row>
        <row r="478">
          <cell r="A478" t="str">
            <v>98#2</v>
          </cell>
          <cell r="C478">
            <v>2</v>
          </cell>
          <cell r="D478">
            <v>2</v>
          </cell>
          <cell r="E478">
            <v>2</v>
          </cell>
          <cell r="F478">
            <v>2</v>
          </cell>
          <cell r="G478">
            <v>2</v>
          </cell>
          <cell r="H478">
            <v>2</v>
          </cell>
          <cell r="I478">
            <v>2</v>
          </cell>
          <cell r="J478">
            <v>2</v>
          </cell>
          <cell r="K478">
            <v>2</v>
          </cell>
          <cell r="L478">
            <v>2</v>
          </cell>
          <cell r="M478">
            <v>2</v>
          </cell>
          <cell r="N478">
            <v>2</v>
          </cell>
          <cell r="P478">
            <v>2</v>
          </cell>
          <cell r="Q478">
            <v>2</v>
          </cell>
          <cell r="R478">
            <v>2</v>
          </cell>
          <cell r="S478">
            <v>2</v>
          </cell>
          <cell r="U478">
            <v>2</v>
          </cell>
          <cell r="V478">
            <v>2</v>
          </cell>
          <cell r="W478">
            <v>2</v>
          </cell>
        </row>
        <row r="479">
          <cell r="A479" t="str">
            <v>Mos</v>
          </cell>
          <cell r="B479">
            <v>4</v>
          </cell>
          <cell r="C479">
            <v>4</v>
          </cell>
          <cell r="D479">
            <v>4</v>
          </cell>
          <cell r="E479">
            <v>4</v>
          </cell>
          <cell r="F479">
            <v>4</v>
          </cell>
          <cell r="G479">
            <v>4</v>
          </cell>
          <cell r="H479">
            <v>4</v>
          </cell>
          <cell r="I479">
            <v>4</v>
          </cell>
          <cell r="J479">
            <v>4</v>
          </cell>
          <cell r="K479">
            <v>4</v>
          </cell>
          <cell r="L479">
            <v>4</v>
          </cell>
          <cell r="M479">
            <v>4</v>
          </cell>
          <cell r="N479">
            <v>4</v>
          </cell>
          <cell r="P479">
            <v>4</v>
          </cell>
          <cell r="Q479">
            <v>4</v>
          </cell>
          <cell r="R479">
            <v>4</v>
          </cell>
          <cell r="S479">
            <v>4</v>
          </cell>
          <cell r="U479">
            <v>4</v>
          </cell>
          <cell r="V479">
            <v>4</v>
          </cell>
          <cell r="W479">
            <v>4</v>
          </cell>
        </row>
        <row r="480">
          <cell r="A480" t="str">
            <v>Con</v>
          </cell>
          <cell r="C480">
            <v>1.75</v>
          </cell>
          <cell r="D480">
            <v>3.5</v>
          </cell>
          <cell r="E480">
            <v>3.5</v>
          </cell>
          <cell r="F480">
            <v>3</v>
          </cell>
          <cell r="G480">
            <v>2.25</v>
          </cell>
          <cell r="H480">
            <v>3</v>
          </cell>
          <cell r="I480">
            <v>3</v>
          </cell>
          <cell r="J480">
            <v>3</v>
          </cell>
          <cell r="K480">
            <v>3</v>
          </cell>
          <cell r="L480">
            <v>3</v>
          </cell>
          <cell r="M480">
            <v>3</v>
          </cell>
          <cell r="N480">
            <v>3</v>
          </cell>
          <cell r="P480">
            <v>3</v>
          </cell>
          <cell r="Q480">
            <v>3</v>
          </cell>
          <cell r="R480">
            <v>3</v>
          </cell>
          <cell r="S480">
            <v>3</v>
          </cell>
          <cell r="U480">
            <v>3</v>
          </cell>
          <cell r="V480">
            <v>3</v>
          </cell>
          <cell r="W480">
            <v>3</v>
          </cell>
        </row>
        <row r="482">
          <cell r="A482" t="str">
            <v>WAC Average international tariff</v>
          </cell>
        </row>
        <row r="483">
          <cell r="B483">
            <v>35765</v>
          </cell>
          <cell r="C483">
            <v>35796</v>
          </cell>
          <cell r="D483">
            <v>35827</v>
          </cell>
          <cell r="E483">
            <v>35855</v>
          </cell>
          <cell r="F483">
            <v>35886</v>
          </cell>
          <cell r="G483">
            <v>35916</v>
          </cell>
          <cell r="H483">
            <v>35947</v>
          </cell>
          <cell r="I483">
            <v>35977</v>
          </cell>
          <cell r="J483">
            <v>36008</v>
          </cell>
          <cell r="K483">
            <v>36039</v>
          </cell>
          <cell r="L483">
            <v>36069</v>
          </cell>
          <cell r="M483">
            <v>36100</v>
          </cell>
          <cell r="N483">
            <v>36130</v>
          </cell>
          <cell r="O483" t="str">
            <v>Total 98</v>
          </cell>
          <cell r="P483" t="str">
            <v>Q1-99</v>
          </cell>
          <cell r="Q483" t="str">
            <v>Q2-99</v>
          </cell>
          <cell r="R483" t="str">
            <v>Q3-99</v>
          </cell>
          <cell r="S483" t="str">
            <v>Q4-99</v>
          </cell>
          <cell r="T483" t="str">
            <v>Total 99</v>
          </cell>
          <cell r="U483">
            <v>2000</v>
          </cell>
          <cell r="V483">
            <v>2001</v>
          </cell>
          <cell r="W483">
            <v>2002</v>
          </cell>
        </row>
        <row r="484">
          <cell r="A484" t="str">
            <v>Ark</v>
          </cell>
          <cell r="C484">
            <v>0.70750000000000002</v>
          </cell>
          <cell r="D484">
            <v>0.70750000000000002</v>
          </cell>
          <cell r="E484">
            <v>0.70750000000000002</v>
          </cell>
          <cell r="F484">
            <v>0.70750000000000002</v>
          </cell>
          <cell r="G484">
            <v>0.70750000000000002</v>
          </cell>
          <cell r="H484">
            <v>0.70750000000000002</v>
          </cell>
          <cell r="I484">
            <v>0.70750000000000002</v>
          </cell>
          <cell r="J484">
            <v>0.70750000000000002</v>
          </cell>
          <cell r="K484">
            <v>0.70750000000000002</v>
          </cell>
          <cell r="L484">
            <v>0.70750000000000002</v>
          </cell>
          <cell r="M484">
            <v>0.70750000000000002</v>
          </cell>
          <cell r="N484">
            <v>0.70750000000000002</v>
          </cell>
          <cell r="P484">
            <v>0.70750000000000002</v>
          </cell>
          <cell r="Q484">
            <v>0.70750000000000002</v>
          </cell>
          <cell r="R484">
            <v>0.70750000000000002</v>
          </cell>
          <cell r="S484">
            <v>0.70750000000000002</v>
          </cell>
          <cell r="U484">
            <v>0.67212499999999997</v>
          </cell>
          <cell r="V484">
            <v>0.63851874999999991</v>
          </cell>
          <cell r="W484">
            <v>0.60659281249999986</v>
          </cell>
        </row>
        <row r="485">
          <cell r="A485" t="str">
            <v>Eka</v>
          </cell>
          <cell r="C485">
            <v>0.7103836750000001</v>
          </cell>
          <cell r="D485">
            <v>0.7103836750000001</v>
          </cell>
          <cell r="E485">
            <v>0.7103836750000001</v>
          </cell>
          <cell r="F485">
            <v>0.7103836750000001</v>
          </cell>
          <cell r="G485">
            <v>0.7103836750000001</v>
          </cell>
          <cell r="H485">
            <v>0.7103836750000001</v>
          </cell>
          <cell r="I485">
            <v>0.7103836750000001</v>
          </cell>
          <cell r="J485">
            <v>0.7103836750000001</v>
          </cell>
          <cell r="K485">
            <v>0.7103836750000001</v>
          </cell>
          <cell r="L485">
            <v>0.7103836750000001</v>
          </cell>
          <cell r="M485">
            <v>0.7103836750000001</v>
          </cell>
          <cell r="N485">
            <v>0.7103836750000001</v>
          </cell>
          <cell r="P485">
            <v>0.7103836750000001</v>
          </cell>
          <cell r="Q485">
            <v>0.7103836750000001</v>
          </cell>
          <cell r="R485">
            <v>0.7103836750000001</v>
          </cell>
          <cell r="S485">
            <v>0.7103836750000001</v>
          </cell>
          <cell r="U485">
            <v>0.67486449125000003</v>
          </cell>
          <cell r="V485">
            <v>0.64112126668750002</v>
          </cell>
          <cell r="W485">
            <v>0.60906520335312497</v>
          </cell>
        </row>
        <row r="486">
          <cell r="A486" t="str">
            <v>Irk</v>
          </cell>
          <cell r="C486">
            <v>0.70750000000000002</v>
          </cell>
          <cell r="D486">
            <v>0.70750000000000002</v>
          </cell>
          <cell r="E486">
            <v>0.70750000000000002</v>
          </cell>
          <cell r="F486">
            <v>0.70750000000000002</v>
          </cell>
          <cell r="G486">
            <v>0.70750000000000002</v>
          </cell>
          <cell r="H486">
            <v>0.70750000000000002</v>
          </cell>
          <cell r="I486">
            <v>0.70750000000000002</v>
          </cell>
          <cell r="J486">
            <v>0.70750000000000002</v>
          </cell>
          <cell r="K486">
            <v>0.70750000000000002</v>
          </cell>
          <cell r="L486">
            <v>0.70750000000000002</v>
          </cell>
          <cell r="M486">
            <v>0.70750000000000002</v>
          </cell>
          <cell r="N486">
            <v>0.70750000000000002</v>
          </cell>
          <cell r="P486">
            <v>0.70750000000000002</v>
          </cell>
          <cell r="Q486">
            <v>0.70750000000000002</v>
          </cell>
          <cell r="R486">
            <v>0.70750000000000002</v>
          </cell>
          <cell r="S486">
            <v>0.70750000000000002</v>
          </cell>
          <cell r="U486">
            <v>0.67212499999999997</v>
          </cell>
          <cell r="V486">
            <v>0.63851874999999991</v>
          </cell>
          <cell r="W486">
            <v>0.60659281249999986</v>
          </cell>
        </row>
        <row r="487">
          <cell r="A487" t="str">
            <v>Kha</v>
          </cell>
          <cell r="C487">
            <v>0.70750000000000002</v>
          </cell>
          <cell r="D487">
            <v>0.70750000000000002</v>
          </cell>
          <cell r="E487">
            <v>0.70750000000000002</v>
          </cell>
          <cell r="F487">
            <v>0.70750000000000002</v>
          </cell>
          <cell r="G487">
            <v>0.70750000000000002</v>
          </cell>
          <cell r="H487">
            <v>0.70750000000000002</v>
          </cell>
          <cell r="I487">
            <v>0.70750000000000002</v>
          </cell>
          <cell r="J487">
            <v>0.70750000000000002</v>
          </cell>
          <cell r="K487">
            <v>0.70750000000000002</v>
          </cell>
          <cell r="L487">
            <v>0.70750000000000002</v>
          </cell>
          <cell r="M487">
            <v>0.70750000000000002</v>
          </cell>
          <cell r="N487">
            <v>0.70750000000000002</v>
          </cell>
          <cell r="P487">
            <v>0.70750000000000002</v>
          </cell>
          <cell r="Q487">
            <v>0.70750000000000002</v>
          </cell>
          <cell r="R487">
            <v>0.70750000000000002</v>
          </cell>
          <cell r="S487">
            <v>0.70750000000000002</v>
          </cell>
          <cell r="U487">
            <v>0.67212499999999997</v>
          </cell>
          <cell r="V487">
            <v>0.63851874999999991</v>
          </cell>
          <cell r="W487">
            <v>0.60659281249999986</v>
          </cell>
        </row>
        <row r="488">
          <cell r="A488" t="str">
            <v>Kra</v>
          </cell>
          <cell r="C488">
            <v>0.70750000000000002</v>
          </cell>
          <cell r="D488">
            <v>0.70750000000000002</v>
          </cell>
          <cell r="E488">
            <v>0.70750000000000002</v>
          </cell>
          <cell r="F488">
            <v>0.70750000000000002</v>
          </cell>
          <cell r="G488">
            <v>0.70750000000000002</v>
          </cell>
          <cell r="H488">
            <v>0.70750000000000002</v>
          </cell>
          <cell r="I488">
            <v>0.70750000000000002</v>
          </cell>
          <cell r="J488">
            <v>0.70750000000000002</v>
          </cell>
          <cell r="K488">
            <v>0.70750000000000002</v>
          </cell>
          <cell r="L488">
            <v>0.70750000000000002</v>
          </cell>
          <cell r="M488">
            <v>0.70750000000000002</v>
          </cell>
          <cell r="N488">
            <v>0.70750000000000002</v>
          </cell>
          <cell r="P488">
            <v>0.70750000000000002</v>
          </cell>
          <cell r="Q488">
            <v>0.70750000000000002</v>
          </cell>
          <cell r="R488">
            <v>0.70750000000000002</v>
          </cell>
          <cell r="S488">
            <v>0.70750000000000002</v>
          </cell>
          <cell r="U488">
            <v>0.67212499999999997</v>
          </cell>
          <cell r="V488">
            <v>0.63851874999999991</v>
          </cell>
          <cell r="W488">
            <v>0.60659281249999986</v>
          </cell>
        </row>
        <row r="489">
          <cell r="A489" t="str">
            <v>Niz</v>
          </cell>
          <cell r="C489">
            <v>0.70750000000000002</v>
          </cell>
          <cell r="D489">
            <v>0.70750000000000002</v>
          </cell>
          <cell r="E489">
            <v>0.70750000000000002</v>
          </cell>
          <cell r="F489">
            <v>0.70750000000000002</v>
          </cell>
          <cell r="G489">
            <v>0.70750000000000002</v>
          </cell>
          <cell r="H489">
            <v>0.70750000000000002</v>
          </cell>
          <cell r="I489">
            <v>0.70750000000000002</v>
          </cell>
          <cell r="J489">
            <v>0.70750000000000002</v>
          </cell>
          <cell r="K489">
            <v>0.70750000000000002</v>
          </cell>
          <cell r="L489">
            <v>0.70750000000000002</v>
          </cell>
          <cell r="M489">
            <v>0.70750000000000002</v>
          </cell>
          <cell r="N489">
            <v>0.70750000000000002</v>
          </cell>
          <cell r="P489">
            <v>0.70750000000000002</v>
          </cell>
          <cell r="Q489">
            <v>0.70750000000000002</v>
          </cell>
          <cell r="R489">
            <v>0.70750000000000002</v>
          </cell>
          <cell r="S489">
            <v>0.70750000000000002</v>
          </cell>
          <cell r="U489">
            <v>0.67212499999999997</v>
          </cell>
          <cell r="V489">
            <v>0.63851874999999991</v>
          </cell>
          <cell r="W489">
            <v>0.60659281249999986</v>
          </cell>
        </row>
        <row r="490">
          <cell r="A490" t="str">
            <v>Nov</v>
          </cell>
          <cell r="C490">
            <v>0.7103836750000001</v>
          </cell>
          <cell r="D490">
            <v>0.7103836750000001</v>
          </cell>
          <cell r="E490">
            <v>0.7103836750000001</v>
          </cell>
          <cell r="F490">
            <v>0.7103836750000001</v>
          </cell>
          <cell r="G490">
            <v>0.7103836750000001</v>
          </cell>
          <cell r="H490">
            <v>0.7103836750000001</v>
          </cell>
          <cell r="I490">
            <v>0.7103836750000001</v>
          </cell>
          <cell r="J490">
            <v>0.7103836750000001</v>
          </cell>
          <cell r="K490">
            <v>0.7103836750000001</v>
          </cell>
          <cell r="L490">
            <v>0.7103836750000001</v>
          </cell>
          <cell r="M490">
            <v>0.7103836750000001</v>
          </cell>
          <cell r="N490">
            <v>0.7103836750000001</v>
          </cell>
          <cell r="P490">
            <v>0.7103836750000001</v>
          </cell>
          <cell r="Q490">
            <v>0.7103836750000001</v>
          </cell>
          <cell r="R490">
            <v>0.7103836750000001</v>
          </cell>
          <cell r="S490">
            <v>0.7103836750000001</v>
          </cell>
          <cell r="U490">
            <v>0.67486449125000003</v>
          </cell>
          <cell r="V490">
            <v>0.64112126668750002</v>
          </cell>
          <cell r="W490">
            <v>0.60906520335312497</v>
          </cell>
        </row>
        <row r="491">
          <cell r="A491" t="str">
            <v>Syk</v>
          </cell>
          <cell r="C491">
            <v>0.83266616250000003</v>
          </cell>
          <cell r="D491">
            <v>0.83266616250000003</v>
          </cell>
          <cell r="E491">
            <v>0.83266616250000003</v>
          </cell>
          <cell r="F491">
            <v>0.83266616250000003</v>
          </cell>
          <cell r="G491">
            <v>0.83266616250000003</v>
          </cell>
          <cell r="H491">
            <v>0.83266616250000003</v>
          </cell>
          <cell r="I491">
            <v>0.83266616250000003</v>
          </cell>
          <cell r="J491">
            <v>0.83266616250000003</v>
          </cell>
          <cell r="K491">
            <v>0.83266616250000003</v>
          </cell>
          <cell r="L491">
            <v>0.83266616250000003</v>
          </cell>
          <cell r="M491">
            <v>0.83266616250000003</v>
          </cell>
          <cell r="N491">
            <v>0.83266616250000003</v>
          </cell>
          <cell r="P491">
            <v>0.83266616250000003</v>
          </cell>
          <cell r="Q491">
            <v>0.83266616250000003</v>
          </cell>
          <cell r="R491">
            <v>0.83266616250000003</v>
          </cell>
          <cell r="S491">
            <v>0.83266616250000003</v>
          </cell>
          <cell r="U491">
            <v>0.79103285437500004</v>
          </cell>
          <cell r="V491">
            <v>0.75148121165625004</v>
          </cell>
          <cell r="W491">
            <v>0.7139071510734375</v>
          </cell>
        </row>
        <row r="492">
          <cell r="A492" t="str">
            <v>Tyu</v>
          </cell>
          <cell r="C492">
            <v>0.70750000000000002</v>
          </cell>
          <cell r="D492">
            <v>0.70750000000000002</v>
          </cell>
          <cell r="E492">
            <v>0.70750000000000002</v>
          </cell>
          <cell r="F492">
            <v>0.70750000000000002</v>
          </cell>
          <cell r="G492">
            <v>0.70750000000000002</v>
          </cell>
          <cell r="H492">
            <v>0.70750000000000002</v>
          </cell>
          <cell r="I492">
            <v>0.70750000000000002</v>
          </cell>
          <cell r="J492">
            <v>0.70750000000000002</v>
          </cell>
          <cell r="K492">
            <v>0.70750000000000002</v>
          </cell>
          <cell r="L492">
            <v>0.70750000000000002</v>
          </cell>
          <cell r="M492">
            <v>0.70750000000000002</v>
          </cell>
          <cell r="N492">
            <v>0.70750000000000002</v>
          </cell>
          <cell r="P492">
            <v>0.70750000000000002</v>
          </cell>
          <cell r="Q492">
            <v>0.70750000000000002</v>
          </cell>
          <cell r="R492">
            <v>0.70750000000000002</v>
          </cell>
          <cell r="S492">
            <v>0.70750000000000002</v>
          </cell>
          <cell r="U492">
            <v>0.67212499999999997</v>
          </cell>
          <cell r="V492">
            <v>0.63851874999999991</v>
          </cell>
          <cell r="W492">
            <v>0.60659281249999986</v>
          </cell>
        </row>
        <row r="493">
          <cell r="A493" t="str">
            <v>Ufa</v>
          </cell>
          <cell r="C493">
            <v>0.7103836750000001</v>
          </cell>
          <cell r="D493">
            <v>0.7103836750000001</v>
          </cell>
          <cell r="E493">
            <v>0.7103836750000001</v>
          </cell>
          <cell r="F493">
            <v>0.7103836750000001</v>
          </cell>
          <cell r="G493">
            <v>0.7103836750000001</v>
          </cell>
          <cell r="H493">
            <v>0.7103836750000001</v>
          </cell>
          <cell r="I493">
            <v>0.7103836750000001</v>
          </cell>
          <cell r="J493">
            <v>0.7103836750000001</v>
          </cell>
          <cell r="K493">
            <v>0.7103836750000001</v>
          </cell>
          <cell r="L493">
            <v>0.7103836750000001</v>
          </cell>
          <cell r="M493">
            <v>0.7103836750000001</v>
          </cell>
          <cell r="N493">
            <v>0.7103836750000001</v>
          </cell>
          <cell r="P493">
            <v>0.7103836750000001</v>
          </cell>
          <cell r="Q493">
            <v>0.7103836750000001</v>
          </cell>
          <cell r="R493">
            <v>0.7103836750000001</v>
          </cell>
          <cell r="S493">
            <v>0.7103836750000001</v>
          </cell>
          <cell r="U493">
            <v>0.67486449125000003</v>
          </cell>
          <cell r="V493">
            <v>0.64112126668750002</v>
          </cell>
          <cell r="W493">
            <v>0.60906520335312497</v>
          </cell>
        </row>
        <row r="494">
          <cell r="A494" t="str">
            <v>Vla</v>
          </cell>
          <cell r="C494">
            <v>0.7103836750000001</v>
          </cell>
          <cell r="D494">
            <v>0.7103836750000001</v>
          </cell>
          <cell r="E494">
            <v>0.7103836750000001</v>
          </cell>
          <cell r="F494">
            <v>0.7103836750000001</v>
          </cell>
          <cell r="G494">
            <v>0.7103836750000001</v>
          </cell>
          <cell r="H494">
            <v>0.7103836750000001</v>
          </cell>
          <cell r="I494">
            <v>0.7103836750000001</v>
          </cell>
          <cell r="J494">
            <v>0.7103836750000001</v>
          </cell>
          <cell r="K494">
            <v>0.7103836750000001</v>
          </cell>
          <cell r="L494">
            <v>0.7103836750000001</v>
          </cell>
          <cell r="M494">
            <v>0.7103836750000001</v>
          </cell>
          <cell r="N494">
            <v>0.7103836750000001</v>
          </cell>
          <cell r="P494">
            <v>0.7103836750000001</v>
          </cell>
          <cell r="Q494">
            <v>0.7103836750000001</v>
          </cell>
          <cell r="R494">
            <v>0.7103836750000001</v>
          </cell>
          <cell r="S494">
            <v>0.7103836750000001</v>
          </cell>
          <cell r="U494">
            <v>0.67486449125000003</v>
          </cell>
          <cell r="V494">
            <v>0.64112126668750002</v>
          </cell>
          <cell r="W494">
            <v>0.60906520335312497</v>
          </cell>
        </row>
        <row r="495">
          <cell r="A495" t="str">
            <v>Vol</v>
          </cell>
          <cell r="C495">
            <v>0.70750000000000002</v>
          </cell>
          <cell r="D495">
            <v>0.70750000000000002</v>
          </cell>
          <cell r="E495">
            <v>0.70750000000000002</v>
          </cell>
          <cell r="F495">
            <v>0.70750000000000002</v>
          </cell>
          <cell r="G495">
            <v>0.70750000000000002</v>
          </cell>
          <cell r="H495">
            <v>0.70750000000000002</v>
          </cell>
          <cell r="I495">
            <v>0.70750000000000002</v>
          </cell>
          <cell r="J495">
            <v>0.70750000000000002</v>
          </cell>
          <cell r="K495">
            <v>0.70750000000000002</v>
          </cell>
          <cell r="L495">
            <v>0.70750000000000002</v>
          </cell>
          <cell r="M495">
            <v>0.70750000000000002</v>
          </cell>
          <cell r="N495">
            <v>0.70750000000000002</v>
          </cell>
          <cell r="P495">
            <v>0.70750000000000002</v>
          </cell>
          <cell r="Q495">
            <v>0.70750000000000002</v>
          </cell>
          <cell r="R495">
            <v>0.70750000000000002</v>
          </cell>
          <cell r="S495">
            <v>0.70750000000000002</v>
          </cell>
          <cell r="U495">
            <v>0.67212499999999997</v>
          </cell>
          <cell r="V495">
            <v>0.63851874999999991</v>
          </cell>
          <cell r="W495">
            <v>0.60659281249999986</v>
          </cell>
        </row>
        <row r="496">
          <cell r="A496" t="str">
            <v>Vor</v>
          </cell>
          <cell r="C496">
            <v>0.70750000000000002</v>
          </cell>
          <cell r="D496">
            <v>0.70750000000000002</v>
          </cell>
          <cell r="E496">
            <v>0.70750000000000002</v>
          </cell>
          <cell r="F496">
            <v>0.70750000000000002</v>
          </cell>
          <cell r="G496">
            <v>0.70750000000000002</v>
          </cell>
          <cell r="H496">
            <v>0.70750000000000002</v>
          </cell>
          <cell r="I496">
            <v>0.70750000000000002</v>
          </cell>
          <cell r="J496">
            <v>0.70750000000000002</v>
          </cell>
          <cell r="K496">
            <v>0.70750000000000002</v>
          </cell>
          <cell r="L496">
            <v>0.70750000000000002</v>
          </cell>
          <cell r="M496">
            <v>0.70750000000000002</v>
          </cell>
          <cell r="N496">
            <v>0.70750000000000002</v>
          </cell>
          <cell r="P496">
            <v>0.70750000000000002</v>
          </cell>
          <cell r="Q496">
            <v>0.70750000000000002</v>
          </cell>
          <cell r="R496">
            <v>0.70750000000000002</v>
          </cell>
          <cell r="S496">
            <v>0.70750000000000002</v>
          </cell>
          <cell r="U496">
            <v>0.67212499999999997</v>
          </cell>
          <cell r="V496">
            <v>0.63851874999999991</v>
          </cell>
          <cell r="W496">
            <v>0.60659281249999986</v>
          </cell>
        </row>
        <row r="497">
          <cell r="A497" t="str">
            <v>97#1</v>
          </cell>
          <cell r="C497">
            <v>0.70750000000000002</v>
          </cell>
          <cell r="D497">
            <v>0.70750000000000002</v>
          </cell>
          <cell r="E497">
            <v>0.70750000000000002</v>
          </cell>
          <cell r="F497">
            <v>0.70750000000000002</v>
          </cell>
          <cell r="G497">
            <v>0.70750000000000002</v>
          </cell>
          <cell r="H497">
            <v>0.70750000000000002</v>
          </cell>
          <cell r="I497">
            <v>0.70750000000000002</v>
          </cell>
          <cell r="J497">
            <v>0.70750000000000002</v>
          </cell>
          <cell r="K497">
            <v>0.70750000000000002</v>
          </cell>
          <cell r="L497">
            <v>0.70750000000000002</v>
          </cell>
          <cell r="M497">
            <v>0.70750000000000002</v>
          </cell>
          <cell r="N497">
            <v>0.70750000000000002</v>
          </cell>
          <cell r="P497">
            <v>0.70750000000000002</v>
          </cell>
          <cell r="Q497">
            <v>0.70750000000000002</v>
          </cell>
          <cell r="R497">
            <v>0.70750000000000002</v>
          </cell>
          <cell r="S497">
            <v>0.70750000000000002</v>
          </cell>
          <cell r="U497">
            <v>0.67212499999999997</v>
          </cell>
          <cell r="V497">
            <v>0.63851874999999991</v>
          </cell>
          <cell r="W497">
            <v>0.60659281249999986</v>
          </cell>
        </row>
        <row r="498">
          <cell r="A498" t="str">
            <v>97#2</v>
          </cell>
          <cell r="C498">
            <v>0.70750000000000002</v>
          </cell>
          <cell r="D498">
            <v>0.70750000000000002</v>
          </cell>
          <cell r="E498">
            <v>0.70750000000000002</v>
          </cell>
          <cell r="F498">
            <v>0.70750000000000002</v>
          </cell>
          <cell r="G498">
            <v>0.70750000000000002</v>
          </cell>
          <cell r="H498">
            <v>0.70750000000000002</v>
          </cell>
          <cell r="I498">
            <v>0.70750000000000002</v>
          </cell>
          <cell r="J498">
            <v>0.70750000000000002</v>
          </cell>
          <cell r="K498">
            <v>0.70750000000000002</v>
          </cell>
          <cell r="L498">
            <v>0.70750000000000002</v>
          </cell>
          <cell r="M498">
            <v>0.70750000000000002</v>
          </cell>
          <cell r="N498">
            <v>0.70750000000000002</v>
          </cell>
          <cell r="P498">
            <v>0.70750000000000002</v>
          </cell>
          <cell r="Q498">
            <v>0.70750000000000002</v>
          </cell>
          <cell r="R498">
            <v>0.70750000000000002</v>
          </cell>
          <cell r="S498">
            <v>0.70750000000000002</v>
          </cell>
          <cell r="U498">
            <v>0.67212499999999997</v>
          </cell>
          <cell r="V498">
            <v>0.63851874999999991</v>
          </cell>
          <cell r="W498">
            <v>0.60659281249999986</v>
          </cell>
        </row>
        <row r="499">
          <cell r="A499" t="str">
            <v>98#1</v>
          </cell>
          <cell r="C499">
            <v>0.70750000000000002</v>
          </cell>
          <cell r="D499">
            <v>0.70750000000000002</v>
          </cell>
          <cell r="E499">
            <v>0.70750000000000002</v>
          </cell>
          <cell r="F499">
            <v>0.70750000000000002</v>
          </cell>
          <cell r="G499">
            <v>0.70750000000000002</v>
          </cell>
          <cell r="H499">
            <v>0.70750000000000002</v>
          </cell>
          <cell r="I499">
            <v>0.70750000000000002</v>
          </cell>
          <cell r="J499">
            <v>0.70750000000000002</v>
          </cell>
          <cell r="K499">
            <v>0.70750000000000002</v>
          </cell>
          <cell r="L499">
            <v>0.70750000000000002</v>
          </cell>
          <cell r="M499">
            <v>0.70750000000000002</v>
          </cell>
          <cell r="N499">
            <v>0.70750000000000002</v>
          </cell>
          <cell r="P499">
            <v>0.70750000000000002</v>
          </cell>
          <cell r="Q499">
            <v>0.70750000000000002</v>
          </cell>
          <cell r="R499">
            <v>0.70750000000000002</v>
          </cell>
          <cell r="S499">
            <v>0.70750000000000002</v>
          </cell>
          <cell r="U499">
            <v>0.67212499999999997</v>
          </cell>
          <cell r="V499">
            <v>0.63851874999999991</v>
          </cell>
          <cell r="W499">
            <v>0.60659281249999986</v>
          </cell>
        </row>
        <row r="500">
          <cell r="A500" t="str">
            <v>98#2</v>
          </cell>
          <cell r="C500">
            <v>0.70750000000000002</v>
          </cell>
          <cell r="D500">
            <v>0.70750000000000002</v>
          </cell>
          <cell r="E500">
            <v>0.70750000000000002</v>
          </cell>
          <cell r="F500">
            <v>0.70750000000000002</v>
          </cell>
          <cell r="G500">
            <v>0.70750000000000002</v>
          </cell>
          <cell r="H500">
            <v>0.70750000000000002</v>
          </cell>
          <cell r="I500">
            <v>0.70750000000000002</v>
          </cell>
          <cell r="J500">
            <v>0.70750000000000002</v>
          </cell>
          <cell r="K500">
            <v>0.70750000000000002</v>
          </cell>
          <cell r="L500">
            <v>0.70750000000000002</v>
          </cell>
          <cell r="M500">
            <v>0.70750000000000002</v>
          </cell>
          <cell r="N500">
            <v>0.70750000000000002</v>
          </cell>
          <cell r="P500">
            <v>0.70750000000000002</v>
          </cell>
          <cell r="Q500">
            <v>0.70750000000000002</v>
          </cell>
          <cell r="R500">
            <v>0.70750000000000002</v>
          </cell>
          <cell r="S500">
            <v>0.70750000000000002</v>
          </cell>
          <cell r="U500">
            <v>0.67212499999999997</v>
          </cell>
          <cell r="V500">
            <v>0.63851874999999991</v>
          </cell>
          <cell r="W500">
            <v>0.60659281249999986</v>
          </cell>
        </row>
        <row r="501">
          <cell r="A501" t="str">
            <v>Mos</v>
          </cell>
          <cell r="C501">
            <v>0.70750000000000002</v>
          </cell>
          <cell r="D501">
            <v>0.70750000000000002</v>
          </cell>
          <cell r="E501">
            <v>0.70750000000000002</v>
          </cell>
          <cell r="F501">
            <v>0.70750000000000002</v>
          </cell>
          <cell r="G501">
            <v>0.70750000000000002</v>
          </cell>
          <cell r="H501">
            <v>0.70750000000000002</v>
          </cell>
          <cell r="I501">
            <v>0.70750000000000002</v>
          </cell>
          <cell r="J501">
            <v>0.70750000000000002</v>
          </cell>
          <cell r="K501">
            <v>0.70750000000000002</v>
          </cell>
          <cell r="L501">
            <v>0.70750000000000002</v>
          </cell>
          <cell r="M501">
            <v>0.70750000000000002</v>
          </cell>
          <cell r="N501">
            <v>0.70750000000000002</v>
          </cell>
          <cell r="P501">
            <v>0.70750000000000002</v>
          </cell>
          <cell r="Q501">
            <v>0.70750000000000002</v>
          </cell>
          <cell r="R501">
            <v>0.70750000000000002</v>
          </cell>
          <cell r="S501">
            <v>0.70750000000000002</v>
          </cell>
          <cell r="U501">
            <v>0.67212499999999997</v>
          </cell>
          <cell r="V501">
            <v>0.63851874999999991</v>
          </cell>
          <cell r="W501">
            <v>0.60659281249999986</v>
          </cell>
        </row>
        <row r="502">
          <cell r="A502" t="str">
            <v>Con</v>
          </cell>
          <cell r="C502">
            <v>2.63</v>
          </cell>
          <cell r="D502">
            <v>2.63</v>
          </cell>
          <cell r="E502">
            <v>2.63</v>
          </cell>
          <cell r="F502">
            <v>2.63</v>
          </cell>
          <cell r="G502">
            <v>2.63</v>
          </cell>
          <cell r="H502">
            <v>2.63</v>
          </cell>
          <cell r="I502">
            <v>2.63</v>
          </cell>
          <cell r="J502">
            <v>2.63</v>
          </cell>
          <cell r="K502">
            <v>2.63</v>
          </cell>
          <cell r="L502">
            <v>2.63</v>
          </cell>
          <cell r="M502">
            <v>2.63</v>
          </cell>
          <cell r="N502">
            <v>2.63</v>
          </cell>
          <cell r="P502">
            <v>2.63</v>
          </cell>
          <cell r="Q502">
            <v>2.63</v>
          </cell>
          <cell r="R502">
            <v>2.63</v>
          </cell>
          <cell r="S502">
            <v>2.63</v>
          </cell>
          <cell r="U502">
            <v>2.4984999999999999</v>
          </cell>
          <cell r="V502">
            <v>2.3735749999999998</v>
          </cell>
          <cell r="W502">
            <v>2.2548962499999998</v>
          </cell>
        </row>
        <row r="504">
          <cell r="A504" t="str">
            <v xml:space="preserve">WAD Number of new lines </v>
          </cell>
        </row>
        <row r="505">
          <cell r="B505">
            <v>35765</v>
          </cell>
          <cell r="C505">
            <v>35796</v>
          </cell>
          <cell r="D505">
            <v>35827</v>
          </cell>
          <cell r="E505">
            <v>35855</v>
          </cell>
          <cell r="F505">
            <v>35886</v>
          </cell>
          <cell r="G505">
            <v>35916</v>
          </cell>
          <cell r="H505">
            <v>35947</v>
          </cell>
          <cell r="I505">
            <v>35977</v>
          </cell>
          <cell r="J505">
            <v>36008</v>
          </cell>
          <cell r="K505">
            <v>36039</v>
          </cell>
          <cell r="L505">
            <v>36069</v>
          </cell>
          <cell r="M505">
            <v>36100</v>
          </cell>
          <cell r="N505">
            <v>36130</v>
          </cell>
          <cell r="O505" t="str">
            <v>Total 98</v>
          </cell>
          <cell r="P505" t="str">
            <v>Q1-99</v>
          </cell>
          <cell r="Q505" t="str">
            <v>Q2-99</v>
          </cell>
          <cell r="R505" t="str">
            <v>Q3-99</v>
          </cell>
          <cell r="S505" t="str">
            <v>Q4-99</v>
          </cell>
          <cell r="T505" t="str">
            <v>Total 99</v>
          </cell>
          <cell r="U505">
            <v>2000</v>
          </cell>
          <cell r="V505">
            <v>2001</v>
          </cell>
          <cell r="W505">
            <v>2002</v>
          </cell>
        </row>
        <row r="506">
          <cell r="A506" t="str">
            <v>Ark</v>
          </cell>
          <cell r="B506">
            <v>19</v>
          </cell>
          <cell r="C506">
            <v>1</v>
          </cell>
          <cell r="D506">
            <v>1</v>
          </cell>
          <cell r="E506">
            <v>1</v>
          </cell>
          <cell r="F506">
            <v>1</v>
          </cell>
          <cell r="G506">
            <v>1</v>
          </cell>
          <cell r="H506">
            <v>1</v>
          </cell>
          <cell r="I506">
            <v>2</v>
          </cell>
          <cell r="J506">
            <v>2</v>
          </cell>
          <cell r="K506">
            <v>2</v>
          </cell>
          <cell r="L506">
            <v>2</v>
          </cell>
          <cell r="M506">
            <v>2</v>
          </cell>
          <cell r="N506">
            <v>2</v>
          </cell>
          <cell r="O506">
            <v>18</v>
          </cell>
          <cell r="P506">
            <v>6</v>
          </cell>
          <cell r="Q506">
            <v>6.3000000000000007</v>
          </cell>
          <cell r="R506">
            <v>6.6150000000000011</v>
          </cell>
          <cell r="S506">
            <v>6.9457500000000012</v>
          </cell>
          <cell r="T506">
            <v>25.860750000000003</v>
          </cell>
          <cell r="U506">
            <v>33.339600000000004</v>
          </cell>
          <cell r="V506">
            <v>40.007520000000007</v>
          </cell>
          <cell r="W506">
            <v>48.009024000000004</v>
          </cell>
        </row>
        <row r="507">
          <cell r="A507" t="str">
            <v>Eka</v>
          </cell>
          <cell r="B507">
            <v>19</v>
          </cell>
          <cell r="C507">
            <v>1</v>
          </cell>
          <cell r="D507">
            <v>1</v>
          </cell>
          <cell r="E507">
            <v>1</v>
          </cell>
          <cell r="F507">
            <v>1</v>
          </cell>
          <cell r="G507">
            <v>1</v>
          </cell>
          <cell r="H507">
            <v>2</v>
          </cell>
          <cell r="I507">
            <v>2</v>
          </cell>
          <cell r="J507">
            <v>2</v>
          </cell>
          <cell r="K507">
            <v>2</v>
          </cell>
          <cell r="L507">
            <v>3</v>
          </cell>
          <cell r="M507">
            <v>3</v>
          </cell>
          <cell r="N507">
            <v>3</v>
          </cell>
          <cell r="O507">
            <v>22</v>
          </cell>
          <cell r="P507">
            <v>9</v>
          </cell>
          <cell r="Q507">
            <v>9.4500000000000011</v>
          </cell>
          <cell r="R507">
            <v>9.9225000000000012</v>
          </cell>
          <cell r="S507">
            <v>10.418625000000002</v>
          </cell>
          <cell r="T507">
            <v>38.791125000000008</v>
          </cell>
          <cell r="U507">
            <v>50.009400000000007</v>
          </cell>
          <cell r="V507">
            <v>60.011280000000006</v>
          </cell>
          <cell r="W507">
            <v>72.013536000000002</v>
          </cell>
        </row>
        <row r="508">
          <cell r="A508" t="str">
            <v>Irk</v>
          </cell>
          <cell r="B508">
            <v>90</v>
          </cell>
          <cell r="C508">
            <v>4</v>
          </cell>
          <cell r="D508">
            <v>4</v>
          </cell>
          <cell r="E508">
            <v>4</v>
          </cell>
          <cell r="F508">
            <v>4</v>
          </cell>
          <cell r="G508">
            <v>4</v>
          </cell>
          <cell r="H508">
            <v>4</v>
          </cell>
          <cell r="I508">
            <v>4</v>
          </cell>
          <cell r="J508">
            <v>4</v>
          </cell>
          <cell r="K508">
            <v>4</v>
          </cell>
          <cell r="L508">
            <v>4</v>
          </cell>
          <cell r="M508">
            <v>4</v>
          </cell>
          <cell r="N508">
            <v>4</v>
          </cell>
          <cell r="O508">
            <v>48</v>
          </cell>
          <cell r="P508">
            <v>12</v>
          </cell>
          <cell r="Q508">
            <v>12.600000000000001</v>
          </cell>
          <cell r="R508">
            <v>13.230000000000002</v>
          </cell>
          <cell r="S508">
            <v>13.891500000000002</v>
          </cell>
          <cell r="T508">
            <v>51.721500000000006</v>
          </cell>
          <cell r="U508">
            <v>66.679200000000009</v>
          </cell>
          <cell r="V508">
            <v>80.015040000000013</v>
          </cell>
          <cell r="W508">
            <v>96.018048000000007</v>
          </cell>
        </row>
        <row r="509">
          <cell r="A509" t="str">
            <v>Kha</v>
          </cell>
          <cell r="B509">
            <v>53</v>
          </cell>
          <cell r="C509">
            <v>2</v>
          </cell>
          <cell r="D509">
            <v>3</v>
          </cell>
          <cell r="E509">
            <v>3</v>
          </cell>
          <cell r="F509">
            <v>3</v>
          </cell>
          <cell r="G509">
            <v>3</v>
          </cell>
          <cell r="H509">
            <v>3</v>
          </cell>
          <cell r="I509">
            <v>3</v>
          </cell>
          <cell r="J509">
            <v>3</v>
          </cell>
          <cell r="K509">
            <v>4</v>
          </cell>
          <cell r="L509">
            <v>4</v>
          </cell>
          <cell r="M509">
            <v>4</v>
          </cell>
          <cell r="N509">
            <v>4</v>
          </cell>
          <cell r="O509">
            <v>39</v>
          </cell>
          <cell r="P509">
            <v>12</v>
          </cell>
          <cell r="Q509">
            <v>12.600000000000001</v>
          </cell>
          <cell r="R509">
            <v>13.230000000000002</v>
          </cell>
          <cell r="S509">
            <v>13.891500000000002</v>
          </cell>
          <cell r="T509">
            <v>51.721500000000006</v>
          </cell>
          <cell r="U509">
            <v>66.679200000000009</v>
          </cell>
          <cell r="V509">
            <v>80.015040000000013</v>
          </cell>
          <cell r="W509">
            <v>96.018048000000007</v>
          </cell>
        </row>
        <row r="510">
          <cell r="A510" t="str">
            <v>Kra</v>
          </cell>
          <cell r="B510">
            <v>11</v>
          </cell>
          <cell r="C510">
            <v>1</v>
          </cell>
          <cell r="D510">
            <v>0</v>
          </cell>
          <cell r="E510">
            <v>1</v>
          </cell>
          <cell r="F510">
            <v>0</v>
          </cell>
          <cell r="G510">
            <v>2</v>
          </cell>
          <cell r="H510">
            <v>2</v>
          </cell>
          <cell r="I510">
            <v>2</v>
          </cell>
          <cell r="J510">
            <v>2</v>
          </cell>
          <cell r="K510">
            <v>2</v>
          </cell>
          <cell r="L510">
            <v>2</v>
          </cell>
          <cell r="M510">
            <v>2</v>
          </cell>
          <cell r="N510">
            <v>2</v>
          </cell>
          <cell r="O510">
            <v>5</v>
          </cell>
          <cell r="P510">
            <v>6</v>
          </cell>
          <cell r="Q510">
            <v>6.3000000000000007</v>
          </cell>
          <cell r="R510">
            <v>6.6150000000000011</v>
          </cell>
          <cell r="S510">
            <v>6.9457500000000012</v>
          </cell>
          <cell r="T510">
            <v>25.860750000000003</v>
          </cell>
          <cell r="U510">
            <v>33.339600000000004</v>
          </cell>
          <cell r="V510">
            <v>40.007520000000007</v>
          </cell>
          <cell r="W510">
            <v>48.009024000000004</v>
          </cell>
        </row>
        <row r="511">
          <cell r="A511" t="str">
            <v>Niz</v>
          </cell>
          <cell r="B511">
            <v>1</v>
          </cell>
          <cell r="C511">
            <v>0</v>
          </cell>
          <cell r="D511">
            <v>1</v>
          </cell>
          <cell r="E511">
            <v>0</v>
          </cell>
          <cell r="F511">
            <v>0</v>
          </cell>
          <cell r="G511">
            <v>1</v>
          </cell>
          <cell r="H511">
            <v>1</v>
          </cell>
          <cell r="I511">
            <v>0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0</v>
          </cell>
          <cell r="O511">
            <v>5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 t="str">
            <v>Nov</v>
          </cell>
          <cell r="B512">
            <v>533</v>
          </cell>
          <cell r="C512">
            <v>15</v>
          </cell>
          <cell r="D512">
            <v>15</v>
          </cell>
          <cell r="E512">
            <v>15</v>
          </cell>
          <cell r="F512">
            <v>24</v>
          </cell>
          <cell r="G512">
            <v>25</v>
          </cell>
          <cell r="H512">
            <v>20</v>
          </cell>
          <cell r="I512">
            <v>20</v>
          </cell>
          <cell r="J512">
            <v>20</v>
          </cell>
          <cell r="K512">
            <v>15</v>
          </cell>
          <cell r="L512">
            <v>25</v>
          </cell>
          <cell r="M512">
            <v>15</v>
          </cell>
          <cell r="N512">
            <v>15</v>
          </cell>
          <cell r="O512">
            <v>224</v>
          </cell>
          <cell r="P512">
            <v>45</v>
          </cell>
          <cell r="Q512">
            <v>47.25</v>
          </cell>
          <cell r="R512">
            <v>49.612500000000004</v>
          </cell>
          <cell r="S512">
            <v>52.093125000000008</v>
          </cell>
          <cell r="T512">
            <v>193.95562500000003</v>
          </cell>
          <cell r="U512">
            <v>250.04700000000003</v>
          </cell>
          <cell r="V512">
            <v>300.0564</v>
          </cell>
          <cell r="W512">
            <v>360.06768</v>
          </cell>
        </row>
        <row r="513">
          <cell r="A513" t="str">
            <v>Syk</v>
          </cell>
          <cell r="B513">
            <v>61</v>
          </cell>
          <cell r="C513">
            <v>5</v>
          </cell>
          <cell r="D513">
            <v>5</v>
          </cell>
          <cell r="E513">
            <v>5</v>
          </cell>
          <cell r="F513">
            <v>5</v>
          </cell>
          <cell r="G513">
            <v>5</v>
          </cell>
          <cell r="H513">
            <v>4</v>
          </cell>
          <cell r="I513">
            <v>4</v>
          </cell>
          <cell r="J513">
            <v>4</v>
          </cell>
          <cell r="K513">
            <v>4</v>
          </cell>
          <cell r="L513">
            <v>4</v>
          </cell>
          <cell r="M513">
            <v>3</v>
          </cell>
          <cell r="N513">
            <v>3</v>
          </cell>
          <cell r="O513">
            <v>51</v>
          </cell>
          <cell r="P513">
            <v>9</v>
          </cell>
          <cell r="Q513">
            <v>9.4500000000000011</v>
          </cell>
          <cell r="R513">
            <v>9.9225000000000012</v>
          </cell>
          <cell r="S513">
            <v>10.418625000000002</v>
          </cell>
          <cell r="T513">
            <v>38.791125000000008</v>
          </cell>
          <cell r="U513">
            <v>50.009400000000007</v>
          </cell>
          <cell r="V513">
            <v>60.011280000000006</v>
          </cell>
          <cell r="W513">
            <v>72.013536000000002</v>
          </cell>
        </row>
        <row r="514">
          <cell r="A514" t="str">
            <v>Tyu</v>
          </cell>
          <cell r="B514">
            <v>66</v>
          </cell>
          <cell r="C514">
            <v>3</v>
          </cell>
          <cell r="D514">
            <v>3</v>
          </cell>
          <cell r="E514">
            <v>4</v>
          </cell>
          <cell r="F514">
            <v>3</v>
          </cell>
          <cell r="G514">
            <v>2</v>
          </cell>
          <cell r="H514">
            <v>2</v>
          </cell>
          <cell r="I514">
            <v>2</v>
          </cell>
          <cell r="J514">
            <v>3</v>
          </cell>
          <cell r="K514">
            <v>4</v>
          </cell>
          <cell r="L514">
            <v>5</v>
          </cell>
          <cell r="M514">
            <v>5</v>
          </cell>
          <cell r="N514">
            <v>3</v>
          </cell>
          <cell r="O514">
            <v>39</v>
          </cell>
          <cell r="P514">
            <v>9</v>
          </cell>
          <cell r="Q514">
            <v>9.4500000000000011</v>
          </cell>
          <cell r="R514">
            <v>9.9225000000000012</v>
          </cell>
          <cell r="S514">
            <v>10.418625000000002</v>
          </cell>
          <cell r="T514">
            <v>38.791125000000008</v>
          </cell>
          <cell r="U514">
            <v>50.009400000000007</v>
          </cell>
          <cell r="V514">
            <v>60.011280000000006</v>
          </cell>
          <cell r="W514">
            <v>72.013536000000002</v>
          </cell>
        </row>
        <row r="515">
          <cell r="A515" t="str">
            <v>Ufa</v>
          </cell>
          <cell r="B515">
            <v>31</v>
          </cell>
          <cell r="C515">
            <v>2</v>
          </cell>
          <cell r="D515">
            <v>1</v>
          </cell>
          <cell r="E515">
            <v>2</v>
          </cell>
          <cell r="F515">
            <v>1</v>
          </cell>
          <cell r="G515">
            <v>2</v>
          </cell>
          <cell r="H515">
            <v>2</v>
          </cell>
          <cell r="I515">
            <v>2</v>
          </cell>
          <cell r="J515">
            <v>1</v>
          </cell>
          <cell r="K515">
            <v>2</v>
          </cell>
          <cell r="L515">
            <v>1</v>
          </cell>
          <cell r="M515">
            <v>2</v>
          </cell>
          <cell r="N515">
            <v>2</v>
          </cell>
          <cell r="O515">
            <v>20</v>
          </cell>
          <cell r="P515">
            <v>6</v>
          </cell>
          <cell r="Q515">
            <v>6.3000000000000007</v>
          </cell>
          <cell r="R515">
            <v>6.6150000000000011</v>
          </cell>
          <cell r="S515">
            <v>6.9457500000000012</v>
          </cell>
          <cell r="T515">
            <v>25.860750000000003</v>
          </cell>
          <cell r="U515">
            <v>33.339600000000004</v>
          </cell>
          <cell r="V515">
            <v>40.007520000000007</v>
          </cell>
          <cell r="W515">
            <v>48.009024000000004</v>
          </cell>
        </row>
        <row r="516">
          <cell r="A516" t="str">
            <v>Vla</v>
          </cell>
          <cell r="B516">
            <v>209</v>
          </cell>
          <cell r="C516">
            <v>12</v>
          </cell>
          <cell r="D516">
            <v>12</v>
          </cell>
          <cell r="E516">
            <v>12</v>
          </cell>
          <cell r="F516">
            <v>12</v>
          </cell>
          <cell r="G516">
            <v>12</v>
          </cell>
          <cell r="H516">
            <v>15</v>
          </cell>
          <cell r="I516">
            <v>15</v>
          </cell>
          <cell r="J516">
            <v>15</v>
          </cell>
          <cell r="K516">
            <v>15</v>
          </cell>
          <cell r="L516">
            <v>20</v>
          </cell>
          <cell r="M516">
            <v>20</v>
          </cell>
          <cell r="N516">
            <v>20</v>
          </cell>
          <cell r="O516">
            <v>180</v>
          </cell>
          <cell r="P516">
            <v>60</v>
          </cell>
          <cell r="Q516">
            <v>63</v>
          </cell>
          <cell r="R516">
            <v>66.150000000000006</v>
          </cell>
          <cell r="S516">
            <v>69.45750000000001</v>
          </cell>
          <cell r="T516">
            <v>258.60750000000002</v>
          </cell>
          <cell r="U516">
            <v>333.39600000000002</v>
          </cell>
          <cell r="V516">
            <v>400.0752</v>
          </cell>
          <cell r="W516">
            <v>480.09023999999999</v>
          </cell>
        </row>
        <row r="517">
          <cell r="A517" t="str">
            <v>Vol</v>
          </cell>
          <cell r="B517">
            <v>7</v>
          </cell>
          <cell r="C517">
            <v>1</v>
          </cell>
          <cell r="D517">
            <v>1</v>
          </cell>
          <cell r="E517">
            <v>1</v>
          </cell>
          <cell r="F517">
            <v>1</v>
          </cell>
          <cell r="G517">
            <v>1</v>
          </cell>
          <cell r="H517">
            <v>1</v>
          </cell>
          <cell r="I517">
            <v>1</v>
          </cell>
          <cell r="J517">
            <v>1</v>
          </cell>
          <cell r="K517">
            <v>1</v>
          </cell>
          <cell r="L517">
            <v>1</v>
          </cell>
          <cell r="M517">
            <v>1</v>
          </cell>
          <cell r="N517">
            <v>1</v>
          </cell>
          <cell r="O517">
            <v>12</v>
          </cell>
          <cell r="P517">
            <v>3</v>
          </cell>
          <cell r="Q517">
            <v>3.1500000000000004</v>
          </cell>
          <cell r="R517">
            <v>3.3075000000000006</v>
          </cell>
          <cell r="S517">
            <v>3.4728750000000006</v>
          </cell>
          <cell r="T517">
            <v>12.930375000000002</v>
          </cell>
          <cell r="U517">
            <v>16.669800000000002</v>
          </cell>
          <cell r="V517">
            <v>20.003760000000003</v>
          </cell>
          <cell r="W517">
            <v>24.004512000000002</v>
          </cell>
        </row>
        <row r="518">
          <cell r="A518" t="str">
            <v>Vor</v>
          </cell>
          <cell r="B518">
            <v>7</v>
          </cell>
          <cell r="C518">
            <v>0</v>
          </cell>
          <cell r="D518">
            <v>1</v>
          </cell>
          <cell r="E518">
            <v>0</v>
          </cell>
          <cell r="F518">
            <v>0</v>
          </cell>
          <cell r="G518">
            <v>1</v>
          </cell>
          <cell r="H518">
            <v>0</v>
          </cell>
          <cell r="I518">
            <v>0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4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 t="str">
            <v>97#1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2</v>
          </cell>
          <cell r="G519">
            <v>2</v>
          </cell>
          <cell r="H519">
            <v>3</v>
          </cell>
          <cell r="I519">
            <v>3</v>
          </cell>
          <cell r="J519">
            <v>4</v>
          </cell>
          <cell r="K519">
            <v>4</v>
          </cell>
          <cell r="L519">
            <v>3</v>
          </cell>
          <cell r="M519">
            <v>3</v>
          </cell>
          <cell r="N519">
            <v>4</v>
          </cell>
          <cell r="O519">
            <v>28</v>
          </cell>
          <cell r="P519">
            <v>12</v>
          </cell>
          <cell r="Q519">
            <v>12.600000000000001</v>
          </cell>
          <cell r="R519">
            <v>13.230000000000002</v>
          </cell>
          <cell r="S519">
            <v>13.891500000000002</v>
          </cell>
          <cell r="T519">
            <v>51.721500000000006</v>
          </cell>
          <cell r="U519">
            <v>66.679200000000009</v>
          </cell>
          <cell r="V519">
            <v>80.015040000000013</v>
          </cell>
          <cell r="W519">
            <v>96.018048000000007</v>
          </cell>
        </row>
        <row r="520">
          <cell r="A520" t="str">
            <v>97#2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1</v>
          </cell>
          <cell r="G520">
            <v>2</v>
          </cell>
          <cell r="H520">
            <v>2</v>
          </cell>
          <cell r="I520">
            <v>3</v>
          </cell>
          <cell r="J520">
            <v>3</v>
          </cell>
          <cell r="K520">
            <v>4</v>
          </cell>
          <cell r="L520">
            <v>4</v>
          </cell>
          <cell r="M520">
            <v>4</v>
          </cell>
          <cell r="N520">
            <v>3</v>
          </cell>
          <cell r="O520">
            <v>26</v>
          </cell>
          <cell r="P520">
            <v>9</v>
          </cell>
          <cell r="Q520">
            <v>9.4500000000000011</v>
          </cell>
          <cell r="R520">
            <v>9.9225000000000012</v>
          </cell>
          <cell r="S520">
            <v>10.418625000000002</v>
          </cell>
          <cell r="T520">
            <v>38.791125000000008</v>
          </cell>
          <cell r="U520">
            <v>50.009400000000007</v>
          </cell>
          <cell r="V520">
            <v>60.011280000000006</v>
          </cell>
          <cell r="W520">
            <v>72.013536000000002</v>
          </cell>
        </row>
        <row r="521">
          <cell r="A521" t="str">
            <v>98#1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1</v>
          </cell>
          <cell r="L521">
            <v>0</v>
          </cell>
          <cell r="M521">
            <v>2</v>
          </cell>
          <cell r="N521">
            <v>1</v>
          </cell>
          <cell r="O521">
            <v>4</v>
          </cell>
          <cell r="P521">
            <v>3</v>
          </cell>
          <cell r="Q521">
            <v>3.1500000000000004</v>
          </cell>
          <cell r="R521">
            <v>3.3075000000000006</v>
          </cell>
          <cell r="S521">
            <v>3.4728750000000006</v>
          </cell>
          <cell r="T521">
            <v>12.930375000000002</v>
          </cell>
          <cell r="U521">
            <v>16.669800000000002</v>
          </cell>
          <cell r="V521">
            <v>20.003760000000003</v>
          </cell>
          <cell r="W521">
            <v>24.004512000000002</v>
          </cell>
        </row>
        <row r="522">
          <cell r="A522" t="str">
            <v>98#2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2</v>
          </cell>
          <cell r="P522">
            <v>3</v>
          </cell>
          <cell r="Q522">
            <v>3.1500000000000004</v>
          </cell>
          <cell r="R522">
            <v>3.3075000000000006</v>
          </cell>
          <cell r="S522">
            <v>3.4728750000000006</v>
          </cell>
          <cell r="T522">
            <v>12.930375000000002</v>
          </cell>
          <cell r="U522">
            <v>16.669800000000002</v>
          </cell>
          <cell r="V522">
            <v>20.003760000000003</v>
          </cell>
          <cell r="W522">
            <v>24.004512000000002</v>
          </cell>
        </row>
        <row r="523">
          <cell r="A523" t="str">
            <v>Mos</v>
          </cell>
          <cell r="O523">
            <v>0</v>
          </cell>
          <cell r="T523">
            <v>0</v>
          </cell>
        </row>
        <row r="524">
          <cell r="A524" t="str">
            <v>Con</v>
          </cell>
          <cell r="B524">
            <v>1107</v>
          </cell>
          <cell r="C524">
            <v>47</v>
          </cell>
          <cell r="D524">
            <v>48</v>
          </cell>
          <cell r="E524">
            <v>49</v>
          </cell>
          <cell r="F524">
            <v>58</v>
          </cell>
          <cell r="G524">
            <v>64</v>
          </cell>
          <cell r="H524">
            <v>62</v>
          </cell>
          <cell r="I524">
            <v>63</v>
          </cell>
          <cell r="J524">
            <v>66</v>
          </cell>
          <cell r="K524">
            <v>64</v>
          </cell>
          <cell r="L524">
            <v>81</v>
          </cell>
          <cell r="M524">
            <v>70</v>
          </cell>
          <cell r="N524">
            <v>68</v>
          </cell>
          <cell r="O524">
            <v>740</v>
          </cell>
          <cell r="P524">
            <v>204</v>
          </cell>
          <cell r="Q524">
            <v>204</v>
          </cell>
          <cell r="R524">
            <v>204</v>
          </cell>
          <cell r="S524">
            <v>204</v>
          </cell>
          <cell r="T524">
            <v>816</v>
          </cell>
          <cell r="U524">
            <v>1133.5463999999997</v>
          </cell>
          <cell r="V524">
            <v>1360.2556800000002</v>
          </cell>
          <cell r="W524">
            <v>1632.3068159999998</v>
          </cell>
        </row>
        <row r="526">
          <cell r="A526" t="str">
            <v xml:space="preserve">WAD Installation fee </v>
          </cell>
        </row>
        <row r="527">
          <cell r="B527">
            <v>35765</v>
          </cell>
          <cell r="C527">
            <v>35796</v>
          </cell>
          <cell r="D527">
            <v>35827</v>
          </cell>
          <cell r="E527">
            <v>35855</v>
          </cell>
          <cell r="F527">
            <v>35886</v>
          </cell>
          <cell r="G527">
            <v>35916</v>
          </cell>
          <cell r="H527">
            <v>35947</v>
          </cell>
          <cell r="I527">
            <v>35977</v>
          </cell>
          <cell r="J527">
            <v>36008</v>
          </cell>
          <cell r="K527">
            <v>36039</v>
          </cell>
          <cell r="L527">
            <v>36069</v>
          </cell>
          <cell r="M527">
            <v>36100</v>
          </cell>
          <cell r="N527">
            <v>36130</v>
          </cell>
          <cell r="O527" t="str">
            <v>Total 98</v>
          </cell>
          <cell r="P527" t="str">
            <v>Q1-99</v>
          </cell>
          <cell r="Q527" t="str">
            <v>Q2-99</v>
          </cell>
          <cell r="R527" t="str">
            <v>Q3-99</v>
          </cell>
          <cell r="S527" t="str">
            <v>Q4-99</v>
          </cell>
          <cell r="T527" t="str">
            <v>Total 99</v>
          </cell>
          <cell r="U527">
            <v>2000</v>
          </cell>
          <cell r="V527">
            <v>2001</v>
          </cell>
          <cell r="W527">
            <v>2002</v>
          </cell>
        </row>
        <row r="528">
          <cell r="A528" t="str">
            <v>Ark</v>
          </cell>
          <cell r="C528">
            <v>85</v>
          </cell>
          <cell r="D528">
            <v>85</v>
          </cell>
          <cell r="E528">
            <v>85</v>
          </cell>
          <cell r="F528">
            <v>85</v>
          </cell>
          <cell r="G528">
            <v>85</v>
          </cell>
          <cell r="H528">
            <v>85</v>
          </cell>
          <cell r="I528">
            <v>85</v>
          </cell>
          <cell r="J528">
            <v>85</v>
          </cell>
          <cell r="K528">
            <v>85</v>
          </cell>
          <cell r="L528">
            <v>85</v>
          </cell>
          <cell r="M528">
            <v>85</v>
          </cell>
          <cell r="N528">
            <v>85</v>
          </cell>
          <cell r="P528">
            <v>85</v>
          </cell>
          <cell r="Q528">
            <v>85</v>
          </cell>
          <cell r="R528">
            <v>85</v>
          </cell>
          <cell r="S528">
            <v>85</v>
          </cell>
          <cell r="U528">
            <v>85</v>
          </cell>
          <cell r="V528">
            <v>85</v>
          </cell>
          <cell r="W528">
            <v>85</v>
          </cell>
        </row>
        <row r="529">
          <cell r="A529" t="str">
            <v>Eka</v>
          </cell>
          <cell r="C529">
            <v>85</v>
          </cell>
          <cell r="D529">
            <v>85</v>
          </cell>
          <cell r="E529">
            <v>85</v>
          </cell>
          <cell r="F529">
            <v>85</v>
          </cell>
          <cell r="G529">
            <v>85</v>
          </cell>
          <cell r="H529">
            <v>85</v>
          </cell>
          <cell r="I529">
            <v>85</v>
          </cell>
          <cell r="J529">
            <v>85</v>
          </cell>
          <cell r="K529">
            <v>85</v>
          </cell>
          <cell r="L529">
            <v>85</v>
          </cell>
          <cell r="M529">
            <v>85</v>
          </cell>
          <cell r="N529">
            <v>85</v>
          </cell>
          <cell r="P529">
            <v>85</v>
          </cell>
          <cell r="Q529">
            <v>85</v>
          </cell>
          <cell r="R529">
            <v>85</v>
          </cell>
          <cell r="S529">
            <v>85</v>
          </cell>
          <cell r="U529">
            <v>85</v>
          </cell>
          <cell r="V529">
            <v>85</v>
          </cell>
          <cell r="W529">
            <v>85</v>
          </cell>
        </row>
        <row r="530">
          <cell r="A530" t="str">
            <v>Irk</v>
          </cell>
          <cell r="C530">
            <v>85</v>
          </cell>
          <cell r="D530">
            <v>85</v>
          </cell>
          <cell r="E530">
            <v>85</v>
          </cell>
          <cell r="F530">
            <v>85</v>
          </cell>
          <cell r="G530">
            <v>85</v>
          </cell>
          <cell r="H530">
            <v>85</v>
          </cell>
          <cell r="I530">
            <v>85</v>
          </cell>
          <cell r="J530">
            <v>85</v>
          </cell>
          <cell r="K530">
            <v>85</v>
          </cell>
          <cell r="L530">
            <v>85</v>
          </cell>
          <cell r="M530">
            <v>85</v>
          </cell>
          <cell r="N530">
            <v>85</v>
          </cell>
          <cell r="P530">
            <v>85</v>
          </cell>
          <cell r="Q530">
            <v>85</v>
          </cell>
          <cell r="R530">
            <v>85</v>
          </cell>
          <cell r="S530">
            <v>85</v>
          </cell>
          <cell r="U530">
            <v>85</v>
          </cell>
          <cell r="V530">
            <v>85</v>
          </cell>
          <cell r="W530">
            <v>85</v>
          </cell>
        </row>
        <row r="531">
          <cell r="A531" t="str">
            <v>Kha</v>
          </cell>
          <cell r="C531">
            <v>85</v>
          </cell>
          <cell r="D531">
            <v>85</v>
          </cell>
          <cell r="E531">
            <v>85</v>
          </cell>
          <cell r="F531">
            <v>85</v>
          </cell>
          <cell r="G531">
            <v>85</v>
          </cell>
          <cell r="H531">
            <v>85</v>
          </cell>
          <cell r="I531">
            <v>85</v>
          </cell>
          <cell r="J531">
            <v>85</v>
          </cell>
          <cell r="K531">
            <v>85</v>
          </cell>
          <cell r="L531">
            <v>85</v>
          </cell>
          <cell r="M531">
            <v>85</v>
          </cell>
          <cell r="N531">
            <v>85</v>
          </cell>
          <cell r="P531">
            <v>85</v>
          </cell>
          <cell r="Q531">
            <v>85</v>
          </cell>
          <cell r="R531">
            <v>85</v>
          </cell>
          <cell r="S531">
            <v>85</v>
          </cell>
          <cell r="U531">
            <v>85</v>
          </cell>
          <cell r="V531">
            <v>85</v>
          </cell>
          <cell r="W531">
            <v>85</v>
          </cell>
        </row>
        <row r="532">
          <cell r="A532" t="str">
            <v>Kra</v>
          </cell>
          <cell r="C532">
            <v>85</v>
          </cell>
          <cell r="D532">
            <v>85</v>
          </cell>
          <cell r="E532">
            <v>85</v>
          </cell>
          <cell r="F532">
            <v>85</v>
          </cell>
          <cell r="G532">
            <v>85</v>
          </cell>
          <cell r="H532">
            <v>85</v>
          </cell>
          <cell r="I532">
            <v>85</v>
          </cell>
          <cell r="J532">
            <v>85</v>
          </cell>
          <cell r="K532">
            <v>85</v>
          </cell>
          <cell r="L532">
            <v>85</v>
          </cell>
          <cell r="M532">
            <v>85</v>
          </cell>
          <cell r="N532">
            <v>85</v>
          </cell>
          <cell r="P532">
            <v>85</v>
          </cell>
          <cell r="Q532">
            <v>85</v>
          </cell>
          <cell r="R532">
            <v>85</v>
          </cell>
          <cell r="S532">
            <v>85</v>
          </cell>
          <cell r="U532">
            <v>85</v>
          </cell>
          <cell r="V532">
            <v>85</v>
          </cell>
          <cell r="W532">
            <v>85</v>
          </cell>
        </row>
        <row r="533">
          <cell r="A533" t="str">
            <v>Niz</v>
          </cell>
          <cell r="C533">
            <v>85</v>
          </cell>
          <cell r="D533">
            <v>85</v>
          </cell>
          <cell r="E533">
            <v>85</v>
          </cell>
          <cell r="F533">
            <v>85</v>
          </cell>
          <cell r="G533">
            <v>85</v>
          </cell>
          <cell r="H533">
            <v>85</v>
          </cell>
          <cell r="I533">
            <v>85</v>
          </cell>
          <cell r="J533">
            <v>85</v>
          </cell>
          <cell r="K533">
            <v>85</v>
          </cell>
          <cell r="L533">
            <v>85</v>
          </cell>
          <cell r="M533">
            <v>85</v>
          </cell>
          <cell r="N533">
            <v>85</v>
          </cell>
          <cell r="P533">
            <v>85</v>
          </cell>
          <cell r="Q533">
            <v>85</v>
          </cell>
          <cell r="R533">
            <v>85</v>
          </cell>
          <cell r="S533">
            <v>85</v>
          </cell>
          <cell r="U533">
            <v>85</v>
          </cell>
          <cell r="V533">
            <v>85</v>
          </cell>
          <cell r="W533">
            <v>85</v>
          </cell>
        </row>
        <row r="534">
          <cell r="A534" t="str">
            <v>Nov</v>
          </cell>
          <cell r="C534">
            <v>85</v>
          </cell>
          <cell r="D534">
            <v>85</v>
          </cell>
          <cell r="E534">
            <v>85</v>
          </cell>
          <cell r="F534">
            <v>85</v>
          </cell>
          <cell r="G534">
            <v>85</v>
          </cell>
          <cell r="H534">
            <v>85</v>
          </cell>
          <cell r="I534">
            <v>85</v>
          </cell>
          <cell r="J534">
            <v>85</v>
          </cell>
          <cell r="K534">
            <v>85</v>
          </cell>
          <cell r="L534">
            <v>85</v>
          </cell>
          <cell r="M534">
            <v>85</v>
          </cell>
          <cell r="N534">
            <v>85</v>
          </cell>
          <cell r="P534">
            <v>85</v>
          </cell>
          <cell r="Q534">
            <v>85</v>
          </cell>
          <cell r="R534">
            <v>85</v>
          </cell>
          <cell r="S534">
            <v>85</v>
          </cell>
          <cell r="U534">
            <v>85</v>
          </cell>
          <cell r="V534">
            <v>85</v>
          </cell>
          <cell r="W534">
            <v>85</v>
          </cell>
        </row>
        <row r="535">
          <cell r="A535" t="str">
            <v>Syk</v>
          </cell>
          <cell r="C535">
            <v>85</v>
          </cell>
          <cell r="D535">
            <v>85</v>
          </cell>
          <cell r="E535">
            <v>85</v>
          </cell>
          <cell r="F535">
            <v>85</v>
          </cell>
          <cell r="G535">
            <v>85</v>
          </cell>
          <cell r="H535">
            <v>85</v>
          </cell>
          <cell r="I535">
            <v>85</v>
          </cell>
          <cell r="J535">
            <v>85</v>
          </cell>
          <cell r="K535">
            <v>85</v>
          </cell>
          <cell r="L535">
            <v>85</v>
          </cell>
          <cell r="M535">
            <v>85</v>
          </cell>
          <cell r="N535">
            <v>85</v>
          </cell>
          <cell r="P535">
            <v>85</v>
          </cell>
          <cell r="Q535">
            <v>85</v>
          </cell>
          <cell r="R535">
            <v>85</v>
          </cell>
          <cell r="S535">
            <v>85</v>
          </cell>
          <cell r="U535">
            <v>85</v>
          </cell>
          <cell r="V535">
            <v>85</v>
          </cell>
          <cell r="W535">
            <v>85</v>
          </cell>
        </row>
        <row r="536">
          <cell r="A536" t="str">
            <v>Tyu</v>
          </cell>
          <cell r="C536">
            <v>85</v>
          </cell>
          <cell r="D536">
            <v>85</v>
          </cell>
          <cell r="E536">
            <v>85</v>
          </cell>
          <cell r="F536">
            <v>85</v>
          </cell>
          <cell r="G536">
            <v>85</v>
          </cell>
          <cell r="H536">
            <v>85</v>
          </cell>
          <cell r="I536">
            <v>85</v>
          </cell>
          <cell r="J536">
            <v>85</v>
          </cell>
          <cell r="K536">
            <v>85</v>
          </cell>
          <cell r="L536">
            <v>85</v>
          </cell>
          <cell r="M536">
            <v>85</v>
          </cell>
          <cell r="N536">
            <v>85</v>
          </cell>
          <cell r="P536">
            <v>85</v>
          </cell>
          <cell r="Q536">
            <v>85</v>
          </cell>
          <cell r="R536">
            <v>85</v>
          </cell>
          <cell r="S536">
            <v>85</v>
          </cell>
          <cell r="U536">
            <v>85</v>
          </cell>
          <cell r="V536">
            <v>85</v>
          </cell>
          <cell r="W536">
            <v>85</v>
          </cell>
        </row>
        <row r="537">
          <cell r="A537" t="str">
            <v>Ufa</v>
          </cell>
          <cell r="C537">
            <v>85</v>
          </cell>
          <cell r="D537">
            <v>85</v>
          </cell>
          <cell r="E537">
            <v>85</v>
          </cell>
          <cell r="F537">
            <v>85</v>
          </cell>
          <cell r="G537">
            <v>85</v>
          </cell>
          <cell r="H537">
            <v>85</v>
          </cell>
          <cell r="I537">
            <v>85</v>
          </cell>
          <cell r="J537">
            <v>85</v>
          </cell>
          <cell r="K537">
            <v>85</v>
          </cell>
          <cell r="L537">
            <v>85</v>
          </cell>
          <cell r="M537">
            <v>85</v>
          </cell>
          <cell r="N537">
            <v>85</v>
          </cell>
          <cell r="P537">
            <v>85</v>
          </cell>
          <cell r="Q537">
            <v>85</v>
          </cell>
          <cell r="R537">
            <v>85</v>
          </cell>
          <cell r="S537">
            <v>85</v>
          </cell>
          <cell r="U537">
            <v>85</v>
          </cell>
          <cell r="V537">
            <v>85</v>
          </cell>
          <cell r="W537">
            <v>85</v>
          </cell>
        </row>
        <row r="538">
          <cell r="A538" t="str">
            <v>Vla</v>
          </cell>
          <cell r="C538">
            <v>85</v>
          </cell>
          <cell r="D538">
            <v>85</v>
          </cell>
          <cell r="E538">
            <v>85</v>
          </cell>
          <cell r="F538">
            <v>85</v>
          </cell>
          <cell r="G538">
            <v>85</v>
          </cell>
          <cell r="H538">
            <v>85</v>
          </cell>
          <cell r="I538">
            <v>85</v>
          </cell>
          <cell r="J538">
            <v>85</v>
          </cell>
          <cell r="K538">
            <v>85</v>
          </cell>
          <cell r="L538">
            <v>85</v>
          </cell>
          <cell r="M538">
            <v>85</v>
          </cell>
          <cell r="N538">
            <v>85</v>
          </cell>
          <cell r="P538">
            <v>85</v>
          </cell>
          <cell r="Q538">
            <v>85</v>
          </cell>
          <cell r="R538">
            <v>85</v>
          </cell>
          <cell r="S538">
            <v>85</v>
          </cell>
          <cell r="U538">
            <v>85</v>
          </cell>
          <cell r="V538">
            <v>85</v>
          </cell>
          <cell r="W538">
            <v>85</v>
          </cell>
        </row>
        <row r="539">
          <cell r="A539" t="str">
            <v>Vol</v>
          </cell>
          <cell r="C539">
            <v>85</v>
          </cell>
          <cell r="D539">
            <v>85</v>
          </cell>
          <cell r="E539">
            <v>85</v>
          </cell>
          <cell r="F539">
            <v>85</v>
          </cell>
          <cell r="G539">
            <v>85</v>
          </cell>
          <cell r="H539">
            <v>85</v>
          </cell>
          <cell r="I539">
            <v>85</v>
          </cell>
          <cell r="J539">
            <v>85</v>
          </cell>
          <cell r="K539">
            <v>85</v>
          </cell>
          <cell r="L539">
            <v>85</v>
          </cell>
          <cell r="M539">
            <v>85</v>
          </cell>
          <cell r="N539">
            <v>85</v>
          </cell>
          <cell r="P539">
            <v>85</v>
          </cell>
          <cell r="Q539">
            <v>85</v>
          </cell>
          <cell r="R539">
            <v>85</v>
          </cell>
          <cell r="S539">
            <v>85</v>
          </cell>
          <cell r="U539">
            <v>85</v>
          </cell>
          <cell r="V539">
            <v>85</v>
          </cell>
          <cell r="W539">
            <v>85</v>
          </cell>
        </row>
        <row r="540">
          <cell r="A540" t="str">
            <v>Vor</v>
          </cell>
          <cell r="C540">
            <v>85</v>
          </cell>
          <cell r="D540">
            <v>85</v>
          </cell>
          <cell r="E540">
            <v>85</v>
          </cell>
          <cell r="F540">
            <v>85</v>
          </cell>
          <cell r="G540">
            <v>85</v>
          </cell>
          <cell r="H540">
            <v>85</v>
          </cell>
          <cell r="I540">
            <v>85</v>
          </cell>
          <cell r="J540">
            <v>85</v>
          </cell>
          <cell r="K540">
            <v>85</v>
          </cell>
          <cell r="L540">
            <v>85</v>
          </cell>
          <cell r="M540">
            <v>85</v>
          </cell>
          <cell r="N540">
            <v>85</v>
          </cell>
          <cell r="P540">
            <v>85</v>
          </cell>
          <cell r="Q540">
            <v>85</v>
          </cell>
          <cell r="R540">
            <v>85</v>
          </cell>
          <cell r="S540">
            <v>85</v>
          </cell>
          <cell r="U540">
            <v>85</v>
          </cell>
          <cell r="V540">
            <v>85</v>
          </cell>
          <cell r="W540">
            <v>85</v>
          </cell>
        </row>
        <row r="541">
          <cell r="A541" t="str">
            <v>97#1</v>
          </cell>
          <cell r="C541">
            <v>85</v>
          </cell>
          <cell r="D541">
            <v>85</v>
          </cell>
          <cell r="E541">
            <v>85</v>
          </cell>
          <cell r="F541">
            <v>85</v>
          </cell>
          <cell r="G541">
            <v>85</v>
          </cell>
          <cell r="H541">
            <v>85</v>
          </cell>
          <cell r="I541">
            <v>85</v>
          </cell>
          <cell r="J541">
            <v>85</v>
          </cell>
          <cell r="K541">
            <v>85</v>
          </cell>
          <cell r="L541">
            <v>85</v>
          </cell>
          <cell r="M541">
            <v>85</v>
          </cell>
          <cell r="N541">
            <v>85</v>
          </cell>
          <cell r="P541">
            <v>85</v>
          </cell>
          <cell r="Q541">
            <v>85</v>
          </cell>
          <cell r="R541">
            <v>85</v>
          </cell>
          <cell r="S541">
            <v>85</v>
          </cell>
          <cell r="U541">
            <v>85</v>
          </cell>
          <cell r="V541">
            <v>85</v>
          </cell>
          <cell r="W541">
            <v>85</v>
          </cell>
        </row>
        <row r="542">
          <cell r="A542" t="str">
            <v>97#2</v>
          </cell>
          <cell r="C542">
            <v>85</v>
          </cell>
          <cell r="D542">
            <v>85</v>
          </cell>
          <cell r="E542">
            <v>85</v>
          </cell>
          <cell r="F542">
            <v>85</v>
          </cell>
          <cell r="G542">
            <v>85</v>
          </cell>
          <cell r="H542">
            <v>85</v>
          </cell>
          <cell r="I542">
            <v>85</v>
          </cell>
          <cell r="J542">
            <v>85</v>
          </cell>
          <cell r="K542">
            <v>85</v>
          </cell>
          <cell r="L542">
            <v>85</v>
          </cell>
          <cell r="M542">
            <v>85</v>
          </cell>
          <cell r="N542">
            <v>85</v>
          </cell>
          <cell r="P542">
            <v>85</v>
          </cell>
          <cell r="Q542">
            <v>85</v>
          </cell>
          <cell r="R542">
            <v>85</v>
          </cell>
          <cell r="S542">
            <v>85</v>
          </cell>
          <cell r="U542">
            <v>85</v>
          </cell>
          <cell r="V542">
            <v>85</v>
          </cell>
          <cell r="W542">
            <v>85</v>
          </cell>
        </row>
        <row r="543">
          <cell r="A543" t="str">
            <v>98#1</v>
          </cell>
          <cell r="C543">
            <v>85</v>
          </cell>
          <cell r="D543">
            <v>85</v>
          </cell>
          <cell r="E543">
            <v>85</v>
          </cell>
          <cell r="F543">
            <v>85</v>
          </cell>
          <cell r="G543">
            <v>85</v>
          </cell>
          <cell r="H543">
            <v>85</v>
          </cell>
          <cell r="I543">
            <v>85</v>
          </cell>
          <cell r="J543">
            <v>85</v>
          </cell>
          <cell r="K543">
            <v>85</v>
          </cell>
          <cell r="L543">
            <v>85</v>
          </cell>
          <cell r="M543">
            <v>85</v>
          </cell>
          <cell r="N543">
            <v>85</v>
          </cell>
          <cell r="P543">
            <v>85</v>
          </cell>
          <cell r="Q543">
            <v>85</v>
          </cell>
          <cell r="R543">
            <v>85</v>
          </cell>
          <cell r="S543">
            <v>85</v>
          </cell>
          <cell r="U543">
            <v>85</v>
          </cell>
          <cell r="V543">
            <v>85</v>
          </cell>
          <cell r="W543">
            <v>85</v>
          </cell>
        </row>
        <row r="544">
          <cell r="A544" t="str">
            <v>98#2</v>
          </cell>
          <cell r="C544">
            <v>85</v>
          </cell>
          <cell r="D544">
            <v>85</v>
          </cell>
          <cell r="E544">
            <v>85</v>
          </cell>
          <cell r="F544">
            <v>85</v>
          </cell>
          <cell r="G544">
            <v>85</v>
          </cell>
          <cell r="H544">
            <v>85</v>
          </cell>
          <cell r="I544">
            <v>85</v>
          </cell>
          <cell r="J544">
            <v>85</v>
          </cell>
          <cell r="K544">
            <v>85</v>
          </cell>
          <cell r="L544">
            <v>85</v>
          </cell>
          <cell r="M544">
            <v>85</v>
          </cell>
          <cell r="N544">
            <v>85</v>
          </cell>
          <cell r="P544">
            <v>85</v>
          </cell>
          <cell r="Q544">
            <v>85</v>
          </cell>
          <cell r="R544">
            <v>85</v>
          </cell>
          <cell r="S544">
            <v>85</v>
          </cell>
          <cell r="U544">
            <v>85</v>
          </cell>
          <cell r="V544">
            <v>85</v>
          </cell>
          <cell r="W544">
            <v>85</v>
          </cell>
        </row>
        <row r="545">
          <cell r="A545" t="str">
            <v>Mos</v>
          </cell>
        </row>
        <row r="546">
          <cell r="A546" t="str">
            <v>Con</v>
          </cell>
          <cell r="C546">
            <v>100</v>
          </cell>
          <cell r="D546">
            <v>100</v>
          </cell>
          <cell r="E546">
            <v>100</v>
          </cell>
          <cell r="F546">
            <v>100</v>
          </cell>
          <cell r="G546">
            <v>100</v>
          </cell>
          <cell r="H546">
            <v>100</v>
          </cell>
          <cell r="I546">
            <v>100</v>
          </cell>
          <cell r="J546">
            <v>100</v>
          </cell>
          <cell r="K546">
            <v>100</v>
          </cell>
          <cell r="L546">
            <v>100</v>
          </cell>
          <cell r="M546">
            <v>100</v>
          </cell>
          <cell r="N546">
            <v>100</v>
          </cell>
          <cell r="P546">
            <v>100</v>
          </cell>
          <cell r="Q546">
            <v>100</v>
          </cell>
          <cell r="R546">
            <v>100</v>
          </cell>
          <cell r="S546">
            <v>100</v>
          </cell>
          <cell r="U546">
            <v>100</v>
          </cell>
          <cell r="V546">
            <v>100</v>
          </cell>
          <cell r="W546">
            <v>100</v>
          </cell>
        </row>
        <row r="548">
          <cell r="A548" t="str">
            <v>WAD Monthly Fee</v>
          </cell>
        </row>
        <row r="549">
          <cell r="B549">
            <v>35765</v>
          </cell>
          <cell r="C549">
            <v>35796</v>
          </cell>
          <cell r="D549">
            <v>35827</v>
          </cell>
          <cell r="E549">
            <v>35855</v>
          </cell>
          <cell r="F549">
            <v>35886</v>
          </cell>
          <cell r="G549">
            <v>35916</v>
          </cell>
          <cell r="H549">
            <v>35947</v>
          </cell>
          <cell r="I549">
            <v>35977</v>
          </cell>
          <cell r="J549">
            <v>36008</v>
          </cell>
          <cell r="K549">
            <v>36039</v>
          </cell>
          <cell r="L549">
            <v>36069</v>
          </cell>
          <cell r="M549">
            <v>36100</v>
          </cell>
          <cell r="N549">
            <v>36130</v>
          </cell>
          <cell r="O549" t="str">
            <v>Total 98</v>
          </cell>
          <cell r="P549" t="str">
            <v>Q1-99</v>
          </cell>
          <cell r="Q549" t="str">
            <v>Q2-99</v>
          </cell>
          <cell r="R549" t="str">
            <v>Q3-99</v>
          </cell>
          <cell r="S549" t="str">
            <v>Q4-99</v>
          </cell>
          <cell r="T549" t="str">
            <v>Total 99</v>
          </cell>
          <cell r="U549">
            <v>2000</v>
          </cell>
          <cell r="V549">
            <v>2001</v>
          </cell>
          <cell r="W549">
            <v>2002</v>
          </cell>
        </row>
        <row r="550">
          <cell r="A550" t="str">
            <v>Ark</v>
          </cell>
          <cell r="C550">
            <v>20</v>
          </cell>
          <cell r="D550">
            <v>20</v>
          </cell>
          <cell r="E550">
            <v>20</v>
          </cell>
          <cell r="F550">
            <v>20</v>
          </cell>
          <cell r="G550">
            <v>20</v>
          </cell>
          <cell r="H550">
            <v>20</v>
          </cell>
          <cell r="I550">
            <v>20</v>
          </cell>
          <cell r="J550">
            <v>20</v>
          </cell>
          <cell r="K550">
            <v>20</v>
          </cell>
          <cell r="L550">
            <v>20</v>
          </cell>
          <cell r="M550">
            <v>20</v>
          </cell>
          <cell r="N550">
            <v>20</v>
          </cell>
          <cell r="P550">
            <v>20</v>
          </cell>
          <cell r="Q550">
            <v>20</v>
          </cell>
          <cell r="R550">
            <v>20</v>
          </cell>
          <cell r="S550">
            <v>20</v>
          </cell>
          <cell r="U550">
            <v>20</v>
          </cell>
          <cell r="V550">
            <v>20</v>
          </cell>
          <cell r="W550">
            <v>20</v>
          </cell>
        </row>
        <row r="551">
          <cell r="A551" t="str">
            <v>Eka</v>
          </cell>
          <cell r="C551">
            <v>20</v>
          </cell>
          <cell r="D551">
            <v>20</v>
          </cell>
          <cell r="E551">
            <v>20</v>
          </cell>
          <cell r="F551">
            <v>20</v>
          </cell>
          <cell r="G551">
            <v>20</v>
          </cell>
          <cell r="H551">
            <v>20</v>
          </cell>
          <cell r="I551">
            <v>20</v>
          </cell>
          <cell r="J551">
            <v>20</v>
          </cell>
          <cell r="K551">
            <v>20</v>
          </cell>
          <cell r="L551">
            <v>20</v>
          </cell>
          <cell r="M551">
            <v>20</v>
          </cell>
          <cell r="N551">
            <v>20</v>
          </cell>
          <cell r="P551">
            <v>20</v>
          </cell>
          <cell r="Q551">
            <v>20</v>
          </cell>
          <cell r="R551">
            <v>20</v>
          </cell>
          <cell r="S551">
            <v>20</v>
          </cell>
          <cell r="U551">
            <v>20</v>
          </cell>
          <cell r="V551">
            <v>20</v>
          </cell>
          <cell r="W551">
            <v>20</v>
          </cell>
        </row>
        <row r="552">
          <cell r="A552" t="str">
            <v>Irk</v>
          </cell>
          <cell r="C552">
            <v>20</v>
          </cell>
          <cell r="D552">
            <v>20</v>
          </cell>
          <cell r="E552">
            <v>20</v>
          </cell>
          <cell r="F552">
            <v>20</v>
          </cell>
          <cell r="G552">
            <v>20</v>
          </cell>
          <cell r="H552">
            <v>20</v>
          </cell>
          <cell r="I552">
            <v>20</v>
          </cell>
          <cell r="J552">
            <v>20</v>
          </cell>
          <cell r="K552">
            <v>20</v>
          </cell>
          <cell r="L552">
            <v>20</v>
          </cell>
          <cell r="M552">
            <v>20</v>
          </cell>
          <cell r="N552">
            <v>20</v>
          </cell>
          <cell r="P552">
            <v>20</v>
          </cell>
          <cell r="Q552">
            <v>20</v>
          </cell>
          <cell r="R552">
            <v>20</v>
          </cell>
          <cell r="S552">
            <v>20</v>
          </cell>
          <cell r="U552">
            <v>20</v>
          </cell>
          <cell r="V552">
            <v>20</v>
          </cell>
          <cell r="W552">
            <v>20</v>
          </cell>
        </row>
        <row r="553">
          <cell r="A553" t="str">
            <v>Kha</v>
          </cell>
          <cell r="C553">
            <v>20</v>
          </cell>
          <cell r="D553">
            <v>20</v>
          </cell>
          <cell r="E553">
            <v>20</v>
          </cell>
          <cell r="F553">
            <v>20</v>
          </cell>
          <cell r="G553">
            <v>20</v>
          </cell>
          <cell r="H553">
            <v>20</v>
          </cell>
          <cell r="I553">
            <v>20</v>
          </cell>
          <cell r="J553">
            <v>20</v>
          </cell>
          <cell r="K553">
            <v>20</v>
          </cell>
          <cell r="L553">
            <v>20</v>
          </cell>
          <cell r="M553">
            <v>20</v>
          </cell>
          <cell r="N553">
            <v>20</v>
          </cell>
          <cell r="P553">
            <v>20</v>
          </cell>
          <cell r="Q553">
            <v>20</v>
          </cell>
          <cell r="R553">
            <v>20</v>
          </cell>
          <cell r="S553">
            <v>20</v>
          </cell>
          <cell r="U553">
            <v>20</v>
          </cell>
          <cell r="V553">
            <v>20</v>
          </cell>
          <cell r="W553">
            <v>20</v>
          </cell>
        </row>
        <row r="554">
          <cell r="A554" t="str">
            <v>Kra</v>
          </cell>
          <cell r="C554">
            <v>20</v>
          </cell>
          <cell r="D554">
            <v>20</v>
          </cell>
          <cell r="E554">
            <v>20</v>
          </cell>
          <cell r="F554">
            <v>20</v>
          </cell>
          <cell r="G554">
            <v>20</v>
          </cell>
          <cell r="H554">
            <v>20</v>
          </cell>
          <cell r="I554">
            <v>20</v>
          </cell>
          <cell r="J554">
            <v>20</v>
          </cell>
          <cell r="K554">
            <v>20</v>
          </cell>
          <cell r="L554">
            <v>20</v>
          </cell>
          <cell r="M554">
            <v>20</v>
          </cell>
          <cell r="N554">
            <v>20</v>
          </cell>
          <cell r="P554">
            <v>20</v>
          </cell>
          <cell r="Q554">
            <v>20</v>
          </cell>
          <cell r="R554">
            <v>20</v>
          </cell>
          <cell r="S554">
            <v>20</v>
          </cell>
          <cell r="U554">
            <v>20</v>
          </cell>
          <cell r="V554">
            <v>20</v>
          </cell>
          <cell r="W554">
            <v>20</v>
          </cell>
        </row>
        <row r="555">
          <cell r="A555" t="str">
            <v>Niz</v>
          </cell>
          <cell r="C555">
            <v>20</v>
          </cell>
          <cell r="D555">
            <v>20</v>
          </cell>
          <cell r="E555">
            <v>20</v>
          </cell>
          <cell r="F555">
            <v>20</v>
          </cell>
          <cell r="G555">
            <v>20</v>
          </cell>
          <cell r="H555">
            <v>20</v>
          </cell>
          <cell r="I555">
            <v>20</v>
          </cell>
          <cell r="J555">
            <v>20</v>
          </cell>
          <cell r="K555">
            <v>20</v>
          </cell>
          <cell r="L555">
            <v>20</v>
          </cell>
          <cell r="M555">
            <v>20</v>
          </cell>
          <cell r="N555">
            <v>20</v>
          </cell>
          <cell r="P555">
            <v>20</v>
          </cell>
          <cell r="Q555">
            <v>20</v>
          </cell>
          <cell r="R555">
            <v>20</v>
          </cell>
          <cell r="S555">
            <v>20</v>
          </cell>
          <cell r="U555">
            <v>20</v>
          </cell>
          <cell r="V555">
            <v>20</v>
          </cell>
          <cell r="W555">
            <v>20</v>
          </cell>
        </row>
        <row r="556">
          <cell r="A556" t="str">
            <v>Nov</v>
          </cell>
          <cell r="C556">
            <v>20</v>
          </cell>
          <cell r="D556">
            <v>20</v>
          </cell>
          <cell r="E556">
            <v>20</v>
          </cell>
          <cell r="F556">
            <v>20</v>
          </cell>
          <cell r="G556">
            <v>20</v>
          </cell>
          <cell r="H556">
            <v>20</v>
          </cell>
          <cell r="I556">
            <v>20</v>
          </cell>
          <cell r="J556">
            <v>20</v>
          </cell>
          <cell r="K556">
            <v>20</v>
          </cell>
          <cell r="L556">
            <v>20</v>
          </cell>
          <cell r="M556">
            <v>20</v>
          </cell>
          <cell r="N556">
            <v>20</v>
          </cell>
          <cell r="P556">
            <v>20</v>
          </cell>
          <cell r="Q556">
            <v>20</v>
          </cell>
          <cell r="R556">
            <v>20</v>
          </cell>
          <cell r="S556">
            <v>20</v>
          </cell>
          <cell r="U556">
            <v>20</v>
          </cell>
          <cell r="V556">
            <v>20</v>
          </cell>
          <cell r="W556">
            <v>20</v>
          </cell>
        </row>
        <row r="557">
          <cell r="A557" t="str">
            <v>Syk</v>
          </cell>
          <cell r="C557">
            <v>20</v>
          </cell>
          <cell r="D557">
            <v>20</v>
          </cell>
          <cell r="E557">
            <v>20</v>
          </cell>
          <cell r="F557">
            <v>20</v>
          </cell>
          <cell r="G557">
            <v>20</v>
          </cell>
          <cell r="H557">
            <v>20</v>
          </cell>
          <cell r="I557">
            <v>20</v>
          </cell>
          <cell r="J557">
            <v>20</v>
          </cell>
          <cell r="K557">
            <v>20</v>
          </cell>
          <cell r="L557">
            <v>20</v>
          </cell>
          <cell r="M557">
            <v>20</v>
          </cell>
          <cell r="N557">
            <v>20</v>
          </cell>
          <cell r="P557">
            <v>20</v>
          </cell>
          <cell r="Q557">
            <v>20</v>
          </cell>
          <cell r="R557">
            <v>20</v>
          </cell>
          <cell r="S557">
            <v>20</v>
          </cell>
          <cell r="U557">
            <v>20</v>
          </cell>
          <cell r="V557">
            <v>20</v>
          </cell>
          <cell r="W557">
            <v>20</v>
          </cell>
        </row>
        <row r="558">
          <cell r="A558" t="str">
            <v>Tyu</v>
          </cell>
          <cell r="C558">
            <v>20</v>
          </cell>
          <cell r="D558">
            <v>20</v>
          </cell>
          <cell r="E558">
            <v>20</v>
          </cell>
          <cell r="F558">
            <v>20</v>
          </cell>
          <cell r="G558">
            <v>20</v>
          </cell>
          <cell r="H558">
            <v>20</v>
          </cell>
          <cell r="I558">
            <v>20</v>
          </cell>
          <cell r="J558">
            <v>20</v>
          </cell>
          <cell r="K558">
            <v>20</v>
          </cell>
          <cell r="L558">
            <v>20</v>
          </cell>
          <cell r="M558">
            <v>20</v>
          </cell>
          <cell r="N558">
            <v>20</v>
          </cell>
          <cell r="P558">
            <v>20</v>
          </cell>
          <cell r="Q558">
            <v>20</v>
          </cell>
          <cell r="R558">
            <v>20</v>
          </cell>
          <cell r="S558">
            <v>20</v>
          </cell>
          <cell r="U558">
            <v>20</v>
          </cell>
          <cell r="V558">
            <v>20</v>
          </cell>
          <cell r="W558">
            <v>20</v>
          </cell>
        </row>
        <row r="559">
          <cell r="A559" t="str">
            <v>Ufa</v>
          </cell>
          <cell r="C559">
            <v>20</v>
          </cell>
          <cell r="D559">
            <v>20</v>
          </cell>
          <cell r="E559">
            <v>20</v>
          </cell>
          <cell r="F559">
            <v>20</v>
          </cell>
          <cell r="G559">
            <v>20</v>
          </cell>
          <cell r="H559">
            <v>20</v>
          </cell>
          <cell r="I559">
            <v>20</v>
          </cell>
          <cell r="J559">
            <v>20</v>
          </cell>
          <cell r="K559">
            <v>20</v>
          </cell>
          <cell r="L559">
            <v>20</v>
          </cell>
          <cell r="M559">
            <v>20</v>
          </cell>
          <cell r="N559">
            <v>20</v>
          </cell>
          <cell r="P559">
            <v>20</v>
          </cell>
          <cell r="Q559">
            <v>20</v>
          </cell>
          <cell r="R559">
            <v>20</v>
          </cell>
          <cell r="S559">
            <v>20</v>
          </cell>
          <cell r="U559">
            <v>20</v>
          </cell>
          <cell r="V559">
            <v>20</v>
          </cell>
          <cell r="W559">
            <v>20</v>
          </cell>
        </row>
        <row r="560">
          <cell r="A560" t="str">
            <v>Vla</v>
          </cell>
          <cell r="C560">
            <v>20</v>
          </cell>
          <cell r="D560">
            <v>20</v>
          </cell>
          <cell r="E560">
            <v>20</v>
          </cell>
          <cell r="F560">
            <v>20</v>
          </cell>
          <cell r="G560">
            <v>20</v>
          </cell>
          <cell r="H560">
            <v>20</v>
          </cell>
          <cell r="I560">
            <v>20</v>
          </cell>
          <cell r="J560">
            <v>20</v>
          </cell>
          <cell r="K560">
            <v>20</v>
          </cell>
          <cell r="L560">
            <v>20</v>
          </cell>
          <cell r="M560">
            <v>20</v>
          </cell>
          <cell r="N560">
            <v>20</v>
          </cell>
          <cell r="P560">
            <v>20</v>
          </cell>
          <cell r="Q560">
            <v>20</v>
          </cell>
          <cell r="R560">
            <v>20</v>
          </cell>
          <cell r="S560">
            <v>20</v>
          </cell>
          <cell r="U560">
            <v>20</v>
          </cell>
          <cell r="V560">
            <v>20</v>
          </cell>
          <cell r="W560">
            <v>20</v>
          </cell>
        </row>
        <row r="561">
          <cell r="A561" t="str">
            <v>Vol</v>
          </cell>
          <cell r="C561">
            <v>20</v>
          </cell>
          <cell r="D561">
            <v>20</v>
          </cell>
          <cell r="E561">
            <v>20</v>
          </cell>
          <cell r="F561">
            <v>20</v>
          </cell>
          <cell r="G561">
            <v>20</v>
          </cell>
          <cell r="H561">
            <v>20</v>
          </cell>
          <cell r="I561">
            <v>20</v>
          </cell>
          <cell r="J561">
            <v>20</v>
          </cell>
          <cell r="K561">
            <v>20</v>
          </cell>
          <cell r="L561">
            <v>20</v>
          </cell>
          <cell r="M561">
            <v>20</v>
          </cell>
          <cell r="N561">
            <v>20</v>
          </cell>
          <cell r="P561">
            <v>20</v>
          </cell>
          <cell r="Q561">
            <v>20</v>
          </cell>
          <cell r="R561">
            <v>20</v>
          </cell>
          <cell r="S561">
            <v>20</v>
          </cell>
          <cell r="U561">
            <v>20</v>
          </cell>
          <cell r="V561">
            <v>20</v>
          </cell>
          <cell r="W561">
            <v>20</v>
          </cell>
        </row>
        <row r="562">
          <cell r="A562" t="str">
            <v>Vor</v>
          </cell>
          <cell r="C562">
            <v>20</v>
          </cell>
          <cell r="D562">
            <v>20</v>
          </cell>
          <cell r="E562">
            <v>20</v>
          </cell>
          <cell r="F562">
            <v>20</v>
          </cell>
          <cell r="G562">
            <v>20</v>
          </cell>
          <cell r="H562">
            <v>20</v>
          </cell>
          <cell r="I562">
            <v>20</v>
          </cell>
          <cell r="J562">
            <v>20</v>
          </cell>
          <cell r="K562">
            <v>20</v>
          </cell>
          <cell r="L562">
            <v>20</v>
          </cell>
          <cell r="M562">
            <v>20</v>
          </cell>
          <cell r="N562">
            <v>20</v>
          </cell>
          <cell r="P562">
            <v>20</v>
          </cell>
          <cell r="Q562">
            <v>20</v>
          </cell>
          <cell r="R562">
            <v>20</v>
          </cell>
          <cell r="S562">
            <v>20</v>
          </cell>
          <cell r="U562">
            <v>20</v>
          </cell>
          <cell r="V562">
            <v>20</v>
          </cell>
          <cell r="W562">
            <v>20</v>
          </cell>
        </row>
        <row r="563">
          <cell r="A563" t="str">
            <v>97#1</v>
          </cell>
          <cell r="C563">
            <v>20</v>
          </cell>
          <cell r="D563">
            <v>20</v>
          </cell>
          <cell r="E563">
            <v>20</v>
          </cell>
          <cell r="F563">
            <v>20</v>
          </cell>
          <cell r="G563">
            <v>20</v>
          </cell>
          <cell r="H563">
            <v>20</v>
          </cell>
          <cell r="I563">
            <v>20</v>
          </cell>
          <cell r="J563">
            <v>20</v>
          </cell>
          <cell r="K563">
            <v>20</v>
          </cell>
          <cell r="L563">
            <v>20</v>
          </cell>
          <cell r="M563">
            <v>20</v>
          </cell>
          <cell r="N563">
            <v>20</v>
          </cell>
          <cell r="P563">
            <v>20</v>
          </cell>
          <cell r="Q563">
            <v>20</v>
          </cell>
          <cell r="R563">
            <v>20</v>
          </cell>
          <cell r="S563">
            <v>20</v>
          </cell>
          <cell r="U563">
            <v>20</v>
          </cell>
          <cell r="V563">
            <v>20</v>
          </cell>
          <cell r="W563">
            <v>20</v>
          </cell>
        </row>
        <row r="564">
          <cell r="A564" t="str">
            <v>97#2</v>
          </cell>
          <cell r="C564">
            <v>20</v>
          </cell>
          <cell r="D564">
            <v>20</v>
          </cell>
          <cell r="E564">
            <v>20</v>
          </cell>
          <cell r="F564">
            <v>20</v>
          </cell>
          <cell r="G564">
            <v>20</v>
          </cell>
          <cell r="H564">
            <v>20</v>
          </cell>
          <cell r="I564">
            <v>20</v>
          </cell>
          <cell r="J564">
            <v>20</v>
          </cell>
          <cell r="K564">
            <v>20</v>
          </cell>
          <cell r="L564">
            <v>20</v>
          </cell>
          <cell r="M564">
            <v>20</v>
          </cell>
          <cell r="N564">
            <v>20</v>
          </cell>
          <cell r="P564">
            <v>20</v>
          </cell>
          <cell r="Q564">
            <v>20</v>
          </cell>
          <cell r="R564">
            <v>20</v>
          </cell>
          <cell r="S564">
            <v>20</v>
          </cell>
          <cell r="U564">
            <v>20</v>
          </cell>
          <cell r="V564">
            <v>20</v>
          </cell>
          <cell r="W564">
            <v>20</v>
          </cell>
        </row>
        <row r="565">
          <cell r="A565" t="str">
            <v>98#1</v>
          </cell>
          <cell r="C565">
            <v>20</v>
          </cell>
          <cell r="D565">
            <v>20</v>
          </cell>
          <cell r="E565">
            <v>20</v>
          </cell>
          <cell r="F565">
            <v>20</v>
          </cell>
          <cell r="G565">
            <v>20</v>
          </cell>
          <cell r="H565">
            <v>20</v>
          </cell>
          <cell r="I565">
            <v>20</v>
          </cell>
          <cell r="J565">
            <v>20</v>
          </cell>
          <cell r="K565">
            <v>20</v>
          </cell>
          <cell r="L565">
            <v>20</v>
          </cell>
          <cell r="M565">
            <v>20</v>
          </cell>
          <cell r="N565">
            <v>20</v>
          </cell>
          <cell r="P565">
            <v>20</v>
          </cell>
          <cell r="Q565">
            <v>20</v>
          </cell>
          <cell r="R565">
            <v>20</v>
          </cell>
          <cell r="S565">
            <v>20</v>
          </cell>
          <cell r="U565">
            <v>20</v>
          </cell>
          <cell r="V565">
            <v>20</v>
          </cell>
          <cell r="W565">
            <v>20</v>
          </cell>
        </row>
        <row r="566">
          <cell r="A566" t="str">
            <v>98#2</v>
          </cell>
          <cell r="C566">
            <v>20</v>
          </cell>
          <cell r="D566">
            <v>20</v>
          </cell>
          <cell r="E566">
            <v>20</v>
          </cell>
          <cell r="F566">
            <v>20</v>
          </cell>
          <cell r="G566">
            <v>20</v>
          </cell>
          <cell r="H566">
            <v>20</v>
          </cell>
          <cell r="I566">
            <v>20</v>
          </cell>
          <cell r="J566">
            <v>20</v>
          </cell>
          <cell r="K566">
            <v>20</v>
          </cell>
          <cell r="L566">
            <v>20</v>
          </cell>
          <cell r="M566">
            <v>20</v>
          </cell>
          <cell r="N566">
            <v>20</v>
          </cell>
          <cell r="P566">
            <v>20</v>
          </cell>
          <cell r="Q566">
            <v>20</v>
          </cell>
          <cell r="R566">
            <v>20</v>
          </cell>
          <cell r="S566">
            <v>20</v>
          </cell>
          <cell r="U566">
            <v>20</v>
          </cell>
          <cell r="V566">
            <v>20</v>
          </cell>
          <cell r="W566">
            <v>20</v>
          </cell>
        </row>
        <row r="567">
          <cell r="A567" t="str">
            <v>Mos</v>
          </cell>
        </row>
        <row r="568">
          <cell r="A568" t="str">
            <v>Con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</row>
        <row r="570">
          <cell r="A570" t="str">
            <v>WAD Number of intercity minutes per line</v>
          </cell>
        </row>
        <row r="571">
          <cell r="B571">
            <v>35765</v>
          </cell>
          <cell r="C571">
            <v>35796</v>
          </cell>
          <cell r="D571">
            <v>35827</v>
          </cell>
          <cell r="E571">
            <v>35855</v>
          </cell>
          <cell r="F571">
            <v>35886</v>
          </cell>
          <cell r="G571">
            <v>35916</v>
          </cell>
          <cell r="H571">
            <v>35947</v>
          </cell>
          <cell r="I571">
            <v>35977</v>
          </cell>
          <cell r="J571">
            <v>36008</v>
          </cell>
          <cell r="K571">
            <v>36039</v>
          </cell>
          <cell r="L571">
            <v>36069</v>
          </cell>
          <cell r="M571">
            <v>36100</v>
          </cell>
          <cell r="N571">
            <v>36130</v>
          </cell>
          <cell r="O571" t="str">
            <v>Total 98</v>
          </cell>
          <cell r="P571" t="str">
            <v>Q1-99</v>
          </cell>
          <cell r="Q571" t="str">
            <v>Q2-99</v>
          </cell>
          <cell r="R571" t="str">
            <v>Q3-99</v>
          </cell>
          <cell r="S571" t="str">
            <v>Q4-99</v>
          </cell>
          <cell r="T571" t="str">
            <v>Total 99</v>
          </cell>
          <cell r="U571">
            <v>2000</v>
          </cell>
          <cell r="V571">
            <v>2001</v>
          </cell>
          <cell r="W571">
            <v>2002</v>
          </cell>
        </row>
        <row r="572">
          <cell r="A572" t="str">
            <v>Ark</v>
          </cell>
          <cell r="B572">
            <v>130</v>
          </cell>
          <cell r="C572">
            <v>65</v>
          </cell>
          <cell r="D572">
            <v>130</v>
          </cell>
          <cell r="E572">
            <v>130</v>
          </cell>
          <cell r="F572">
            <v>130</v>
          </cell>
          <cell r="G572">
            <v>97.5</v>
          </cell>
          <cell r="H572">
            <v>115</v>
          </cell>
          <cell r="I572">
            <v>115</v>
          </cell>
          <cell r="J572">
            <v>115</v>
          </cell>
          <cell r="K572">
            <v>100</v>
          </cell>
          <cell r="L572">
            <v>100</v>
          </cell>
          <cell r="M572">
            <v>100</v>
          </cell>
          <cell r="N572">
            <v>100</v>
          </cell>
          <cell r="P572">
            <v>100</v>
          </cell>
          <cell r="Q572">
            <v>105</v>
          </cell>
          <cell r="R572">
            <v>110.25</v>
          </cell>
          <cell r="S572">
            <v>115.7625</v>
          </cell>
          <cell r="U572">
            <v>127.33875000000002</v>
          </cell>
          <cell r="V572">
            <v>137.52585000000002</v>
          </cell>
          <cell r="W572">
            <v>137.52585000000002</v>
          </cell>
        </row>
        <row r="573">
          <cell r="A573" t="str">
            <v>Eka</v>
          </cell>
          <cell r="B573">
            <v>100</v>
          </cell>
          <cell r="C573">
            <v>50</v>
          </cell>
          <cell r="D573">
            <v>100</v>
          </cell>
          <cell r="E573">
            <v>100</v>
          </cell>
          <cell r="F573">
            <v>100</v>
          </cell>
          <cell r="G573">
            <v>75</v>
          </cell>
          <cell r="H573">
            <v>97</v>
          </cell>
          <cell r="I573">
            <v>97</v>
          </cell>
          <cell r="J573">
            <v>97</v>
          </cell>
          <cell r="K573">
            <v>97</v>
          </cell>
          <cell r="L573">
            <v>97</v>
          </cell>
          <cell r="M573">
            <v>80</v>
          </cell>
          <cell r="N573">
            <v>80</v>
          </cell>
          <cell r="P573">
            <v>80</v>
          </cell>
          <cell r="Q573">
            <v>84</v>
          </cell>
          <cell r="R573">
            <v>88.2</v>
          </cell>
          <cell r="S573">
            <v>92.610000000000014</v>
          </cell>
          <cell r="U573">
            <v>101.87100000000002</v>
          </cell>
          <cell r="V573">
            <v>110.02068000000003</v>
          </cell>
          <cell r="W573">
            <v>110.02068000000003</v>
          </cell>
        </row>
        <row r="574">
          <cell r="A574" t="str">
            <v>Irk</v>
          </cell>
          <cell r="B574">
            <v>125</v>
          </cell>
          <cell r="C574">
            <v>62.5</v>
          </cell>
          <cell r="D574">
            <v>125</v>
          </cell>
          <cell r="E574">
            <v>125</v>
          </cell>
          <cell r="F574">
            <v>125</v>
          </cell>
          <cell r="G574">
            <v>93.75</v>
          </cell>
          <cell r="H574">
            <v>125</v>
          </cell>
          <cell r="I574">
            <v>125</v>
          </cell>
          <cell r="J574">
            <v>116</v>
          </cell>
          <cell r="K574">
            <v>116</v>
          </cell>
          <cell r="L574">
            <v>116</v>
          </cell>
          <cell r="M574">
            <v>116</v>
          </cell>
          <cell r="N574">
            <v>116</v>
          </cell>
          <cell r="P574">
            <v>116</v>
          </cell>
          <cell r="Q574">
            <v>121.80000000000001</v>
          </cell>
          <cell r="R574">
            <v>127.89000000000001</v>
          </cell>
          <cell r="S574">
            <v>134.28450000000001</v>
          </cell>
          <cell r="U574">
            <v>147.71295000000003</v>
          </cell>
          <cell r="V574">
            <v>159.52998600000004</v>
          </cell>
          <cell r="W574">
            <v>159.52998600000004</v>
          </cell>
        </row>
        <row r="575">
          <cell r="A575" t="str">
            <v>Kha</v>
          </cell>
          <cell r="B575">
            <v>150</v>
          </cell>
          <cell r="C575">
            <v>75</v>
          </cell>
          <cell r="D575">
            <v>150</v>
          </cell>
          <cell r="E575">
            <v>150</v>
          </cell>
          <cell r="F575">
            <v>150</v>
          </cell>
          <cell r="G575">
            <v>112.5</v>
          </cell>
          <cell r="H575">
            <v>140</v>
          </cell>
          <cell r="I575">
            <v>140</v>
          </cell>
          <cell r="J575">
            <v>140</v>
          </cell>
          <cell r="K575">
            <v>125</v>
          </cell>
          <cell r="L575">
            <v>125</v>
          </cell>
          <cell r="M575">
            <v>125</v>
          </cell>
          <cell r="N575">
            <v>125</v>
          </cell>
          <cell r="P575">
            <v>125</v>
          </cell>
          <cell r="Q575">
            <v>131.25</v>
          </cell>
          <cell r="R575">
            <v>137.8125</v>
          </cell>
          <cell r="S575">
            <v>144.703125</v>
          </cell>
          <cell r="U575">
            <v>159.17343750000001</v>
          </cell>
          <cell r="V575">
            <v>171.90731250000002</v>
          </cell>
          <cell r="W575">
            <v>171.90731250000002</v>
          </cell>
        </row>
        <row r="576">
          <cell r="A576" t="str">
            <v>Kra</v>
          </cell>
          <cell r="B576">
            <v>120</v>
          </cell>
          <cell r="C576">
            <v>60</v>
          </cell>
          <cell r="D576">
            <v>120</v>
          </cell>
          <cell r="E576">
            <v>120</v>
          </cell>
          <cell r="F576">
            <v>120</v>
          </cell>
          <cell r="G576">
            <v>90</v>
          </cell>
          <cell r="H576">
            <v>120</v>
          </cell>
          <cell r="I576">
            <v>112</v>
          </cell>
          <cell r="J576">
            <v>112</v>
          </cell>
          <cell r="K576">
            <v>112</v>
          </cell>
          <cell r="L576">
            <v>112</v>
          </cell>
          <cell r="M576">
            <v>112</v>
          </cell>
          <cell r="N576">
            <v>112</v>
          </cell>
          <cell r="P576">
            <v>112</v>
          </cell>
          <cell r="Q576">
            <v>117.60000000000001</v>
          </cell>
          <cell r="R576">
            <v>123.48000000000002</v>
          </cell>
          <cell r="S576">
            <v>129.65400000000002</v>
          </cell>
          <cell r="U576">
            <v>142.61940000000004</v>
          </cell>
          <cell r="V576">
            <v>154.02895200000006</v>
          </cell>
          <cell r="W576">
            <v>154.02895200000006</v>
          </cell>
        </row>
        <row r="577">
          <cell r="A577" t="str">
            <v>Niz</v>
          </cell>
          <cell r="B577">
            <v>10</v>
          </cell>
          <cell r="C577">
            <v>5</v>
          </cell>
          <cell r="D577">
            <v>10</v>
          </cell>
          <cell r="E577">
            <v>10</v>
          </cell>
          <cell r="F577">
            <v>10</v>
          </cell>
          <cell r="G577">
            <v>7.5</v>
          </cell>
          <cell r="H577">
            <v>20</v>
          </cell>
          <cell r="I577">
            <v>20</v>
          </cell>
          <cell r="J577">
            <v>20</v>
          </cell>
          <cell r="K577">
            <v>20</v>
          </cell>
          <cell r="L577">
            <v>20</v>
          </cell>
          <cell r="M577">
            <v>20</v>
          </cell>
          <cell r="N577">
            <v>20</v>
          </cell>
          <cell r="P577">
            <v>20</v>
          </cell>
          <cell r="Q577">
            <v>21</v>
          </cell>
          <cell r="R577">
            <v>22.05</v>
          </cell>
          <cell r="S577">
            <v>23.152500000000003</v>
          </cell>
          <cell r="U577">
            <v>25.467750000000006</v>
          </cell>
          <cell r="V577">
            <v>27.505170000000007</v>
          </cell>
          <cell r="W577">
            <v>27.505170000000007</v>
          </cell>
        </row>
        <row r="578">
          <cell r="A578" t="str">
            <v>Nov</v>
          </cell>
          <cell r="B578">
            <v>270</v>
          </cell>
          <cell r="C578">
            <v>135</v>
          </cell>
          <cell r="D578">
            <v>270</v>
          </cell>
          <cell r="E578">
            <v>270</v>
          </cell>
          <cell r="F578">
            <v>270</v>
          </cell>
          <cell r="G578">
            <v>202.5</v>
          </cell>
          <cell r="H578">
            <v>250</v>
          </cell>
          <cell r="I578">
            <v>250</v>
          </cell>
          <cell r="J578">
            <v>250</v>
          </cell>
          <cell r="K578">
            <v>250</v>
          </cell>
          <cell r="L578">
            <v>230</v>
          </cell>
          <cell r="M578">
            <v>230</v>
          </cell>
          <cell r="N578">
            <v>230</v>
          </cell>
          <cell r="P578">
            <v>230</v>
          </cell>
          <cell r="Q578">
            <v>241.5</v>
          </cell>
          <cell r="R578">
            <v>253.57500000000002</v>
          </cell>
          <cell r="S578">
            <v>266.25375000000003</v>
          </cell>
          <cell r="U578">
            <v>292.87912500000004</v>
          </cell>
          <cell r="V578">
            <v>316.30945500000007</v>
          </cell>
          <cell r="W578">
            <v>316.30945500000007</v>
          </cell>
        </row>
        <row r="579">
          <cell r="A579" t="str">
            <v>Syk</v>
          </cell>
          <cell r="B579">
            <v>218</v>
          </cell>
          <cell r="C579">
            <v>109</v>
          </cell>
          <cell r="D579">
            <v>218</v>
          </cell>
          <cell r="E579">
            <v>218</v>
          </cell>
          <cell r="F579">
            <v>218</v>
          </cell>
          <cell r="G579">
            <v>163.5</v>
          </cell>
          <cell r="H579">
            <v>206</v>
          </cell>
          <cell r="I579">
            <v>206</v>
          </cell>
          <cell r="J579">
            <v>206</v>
          </cell>
          <cell r="K579">
            <v>206</v>
          </cell>
          <cell r="L579">
            <v>206</v>
          </cell>
          <cell r="M579">
            <v>206</v>
          </cell>
          <cell r="N579">
            <v>206</v>
          </cell>
          <cell r="P579">
            <v>206</v>
          </cell>
          <cell r="Q579">
            <v>216.3</v>
          </cell>
          <cell r="R579">
            <v>227.11500000000001</v>
          </cell>
          <cell r="S579">
            <v>238.47075000000001</v>
          </cell>
          <cell r="U579">
            <v>262.31782500000003</v>
          </cell>
          <cell r="V579">
            <v>283.30325100000005</v>
          </cell>
          <cell r="W579">
            <v>283.30325100000005</v>
          </cell>
        </row>
        <row r="580">
          <cell r="A580" t="str">
            <v>Tyu</v>
          </cell>
          <cell r="B580">
            <v>130</v>
          </cell>
          <cell r="C580">
            <v>65</v>
          </cell>
          <cell r="D580">
            <v>130</v>
          </cell>
          <cell r="E580">
            <v>130</v>
          </cell>
          <cell r="F580">
            <v>130</v>
          </cell>
          <cell r="G580">
            <v>97.5</v>
          </cell>
          <cell r="H580">
            <v>130</v>
          </cell>
          <cell r="I580">
            <v>120</v>
          </cell>
          <cell r="J580">
            <v>120</v>
          </cell>
          <cell r="K580">
            <v>120</v>
          </cell>
          <cell r="L580">
            <v>120</v>
          </cell>
          <cell r="M580">
            <v>120</v>
          </cell>
          <cell r="N580">
            <v>120</v>
          </cell>
          <cell r="P580">
            <v>120</v>
          </cell>
          <cell r="Q580">
            <v>126</v>
          </cell>
          <cell r="R580">
            <v>132.30000000000001</v>
          </cell>
          <cell r="S580">
            <v>138.91500000000002</v>
          </cell>
          <cell r="U580">
            <v>152.80650000000003</v>
          </cell>
          <cell r="V580">
            <v>165.03102000000004</v>
          </cell>
          <cell r="W580">
            <v>165.03102000000004</v>
          </cell>
        </row>
        <row r="581">
          <cell r="A581" t="str">
            <v>Ufa</v>
          </cell>
          <cell r="B581">
            <v>120</v>
          </cell>
          <cell r="C581">
            <v>60</v>
          </cell>
          <cell r="D581">
            <v>120</v>
          </cell>
          <cell r="E581">
            <v>120</v>
          </cell>
          <cell r="F581">
            <v>120</v>
          </cell>
          <cell r="G581">
            <v>90</v>
          </cell>
          <cell r="H581">
            <v>120</v>
          </cell>
          <cell r="I581">
            <v>120</v>
          </cell>
          <cell r="J581">
            <v>120</v>
          </cell>
          <cell r="K581">
            <v>100</v>
          </cell>
          <cell r="L581">
            <v>100</v>
          </cell>
          <cell r="M581">
            <v>100</v>
          </cell>
          <cell r="N581">
            <v>100</v>
          </cell>
          <cell r="P581">
            <v>100</v>
          </cell>
          <cell r="Q581">
            <v>105</v>
          </cell>
          <cell r="R581">
            <v>110.25</v>
          </cell>
          <cell r="S581">
            <v>115.7625</v>
          </cell>
          <cell r="U581">
            <v>127.33875000000002</v>
          </cell>
          <cell r="V581">
            <v>137.52585000000002</v>
          </cell>
          <cell r="W581">
            <v>137.52585000000002</v>
          </cell>
        </row>
        <row r="582">
          <cell r="A582" t="str">
            <v>Vla</v>
          </cell>
          <cell r="B582">
            <v>70</v>
          </cell>
          <cell r="C582">
            <v>35</v>
          </cell>
          <cell r="D582">
            <v>70</v>
          </cell>
          <cell r="E582">
            <v>70</v>
          </cell>
          <cell r="F582">
            <v>70</v>
          </cell>
          <cell r="G582">
            <v>52.5</v>
          </cell>
          <cell r="H582">
            <v>70</v>
          </cell>
          <cell r="I582">
            <v>70</v>
          </cell>
          <cell r="J582">
            <v>70</v>
          </cell>
          <cell r="K582">
            <v>70</v>
          </cell>
          <cell r="L582">
            <v>70</v>
          </cell>
          <cell r="M582">
            <v>70</v>
          </cell>
          <cell r="N582">
            <v>70</v>
          </cell>
          <cell r="P582">
            <v>70</v>
          </cell>
          <cell r="Q582">
            <v>73.5</v>
          </cell>
          <cell r="R582">
            <v>77.174999999999997</v>
          </cell>
          <cell r="S582">
            <v>81.033749999999998</v>
          </cell>
          <cell r="U582">
            <v>89.137125000000012</v>
          </cell>
          <cell r="V582">
            <v>96.268095000000017</v>
          </cell>
          <cell r="W582">
            <v>96.268095000000017</v>
          </cell>
        </row>
        <row r="583">
          <cell r="A583" t="str">
            <v>Vol</v>
          </cell>
          <cell r="B583">
            <v>12</v>
          </cell>
          <cell r="C583">
            <v>6</v>
          </cell>
          <cell r="D583">
            <v>12</v>
          </cell>
          <cell r="E583">
            <v>12</v>
          </cell>
          <cell r="F583">
            <v>12</v>
          </cell>
          <cell r="G583">
            <v>9</v>
          </cell>
          <cell r="H583">
            <v>12</v>
          </cell>
          <cell r="I583">
            <v>12</v>
          </cell>
          <cell r="J583">
            <v>12</v>
          </cell>
          <cell r="K583">
            <v>12</v>
          </cell>
          <cell r="L583">
            <v>12</v>
          </cell>
          <cell r="M583">
            <v>12</v>
          </cell>
          <cell r="N583">
            <v>12</v>
          </cell>
          <cell r="P583">
            <v>12</v>
          </cell>
          <cell r="Q583">
            <v>12.600000000000001</v>
          </cell>
          <cell r="R583">
            <v>13.230000000000002</v>
          </cell>
          <cell r="S583">
            <v>13.891500000000002</v>
          </cell>
          <cell r="U583">
            <v>15.280650000000003</v>
          </cell>
          <cell r="V583">
            <v>16.503102000000005</v>
          </cell>
          <cell r="W583">
            <v>16.503102000000005</v>
          </cell>
        </row>
        <row r="584">
          <cell r="A584" t="str">
            <v>Vor</v>
          </cell>
          <cell r="B584">
            <v>20</v>
          </cell>
          <cell r="C584">
            <v>10</v>
          </cell>
          <cell r="D584">
            <v>20</v>
          </cell>
          <cell r="E584">
            <v>20</v>
          </cell>
          <cell r="F584">
            <v>20</v>
          </cell>
          <cell r="G584">
            <v>15</v>
          </cell>
          <cell r="H584">
            <v>20</v>
          </cell>
          <cell r="I584">
            <v>20</v>
          </cell>
          <cell r="J584">
            <v>20</v>
          </cell>
          <cell r="K584">
            <v>20</v>
          </cell>
          <cell r="L584">
            <v>20</v>
          </cell>
          <cell r="M584">
            <v>20</v>
          </cell>
          <cell r="N584">
            <v>20</v>
          </cell>
          <cell r="P584">
            <v>20</v>
          </cell>
          <cell r="Q584">
            <v>21</v>
          </cell>
          <cell r="R584">
            <v>22.05</v>
          </cell>
          <cell r="S584">
            <v>23.152500000000003</v>
          </cell>
          <cell r="U584">
            <v>25.467750000000006</v>
          </cell>
          <cell r="V584">
            <v>27.505170000000007</v>
          </cell>
          <cell r="W584">
            <v>27.505170000000007</v>
          </cell>
        </row>
        <row r="585">
          <cell r="A585" t="str">
            <v>97#1</v>
          </cell>
          <cell r="B585">
            <v>20</v>
          </cell>
          <cell r="C585">
            <v>10</v>
          </cell>
          <cell r="D585">
            <v>20</v>
          </cell>
          <cell r="E585">
            <v>20</v>
          </cell>
          <cell r="F585">
            <v>20</v>
          </cell>
          <cell r="G585">
            <v>15</v>
          </cell>
          <cell r="H585">
            <v>20</v>
          </cell>
          <cell r="I585">
            <v>20</v>
          </cell>
          <cell r="J585">
            <v>20</v>
          </cell>
          <cell r="K585">
            <v>20</v>
          </cell>
          <cell r="L585">
            <v>20</v>
          </cell>
          <cell r="M585">
            <v>20</v>
          </cell>
          <cell r="N585">
            <v>20</v>
          </cell>
          <cell r="P585">
            <v>20</v>
          </cell>
          <cell r="Q585">
            <v>21</v>
          </cell>
          <cell r="R585">
            <v>22.05</v>
          </cell>
          <cell r="S585">
            <v>23.152500000000003</v>
          </cell>
          <cell r="U585">
            <v>25.467750000000006</v>
          </cell>
          <cell r="V585">
            <v>27.505170000000007</v>
          </cell>
          <cell r="W585">
            <v>27.505170000000007</v>
          </cell>
        </row>
        <row r="586">
          <cell r="A586" t="str">
            <v>97#2</v>
          </cell>
          <cell r="B586">
            <v>30</v>
          </cell>
          <cell r="C586">
            <v>15</v>
          </cell>
          <cell r="D586">
            <v>30</v>
          </cell>
          <cell r="E586">
            <v>30</v>
          </cell>
          <cell r="F586">
            <v>30</v>
          </cell>
          <cell r="G586">
            <v>22.5</v>
          </cell>
          <cell r="H586">
            <v>30</v>
          </cell>
          <cell r="I586">
            <v>30</v>
          </cell>
          <cell r="J586">
            <v>30</v>
          </cell>
          <cell r="K586">
            <v>30</v>
          </cell>
          <cell r="L586">
            <v>30</v>
          </cell>
          <cell r="M586">
            <v>30</v>
          </cell>
          <cell r="N586">
            <v>30</v>
          </cell>
          <cell r="P586">
            <v>30</v>
          </cell>
          <cell r="Q586">
            <v>31.5</v>
          </cell>
          <cell r="R586">
            <v>33.075000000000003</v>
          </cell>
          <cell r="S586">
            <v>34.728750000000005</v>
          </cell>
          <cell r="U586">
            <v>38.201625000000007</v>
          </cell>
          <cell r="V586">
            <v>41.25775500000001</v>
          </cell>
          <cell r="W586">
            <v>41.25775500000001</v>
          </cell>
        </row>
        <row r="587">
          <cell r="A587" t="str">
            <v>98#1</v>
          </cell>
          <cell r="B587">
            <v>20</v>
          </cell>
          <cell r="C587">
            <v>10</v>
          </cell>
          <cell r="D587">
            <v>20</v>
          </cell>
          <cell r="E587">
            <v>20</v>
          </cell>
          <cell r="F587">
            <v>20</v>
          </cell>
          <cell r="G587">
            <v>15</v>
          </cell>
          <cell r="H587">
            <v>20</v>
          </cell>
          <cell r="I587">
            <v>20</v>
          </cell>
          <cell r="J587">
            <v>20</v>
          </cell>
          <cell r="K587">
            <v>20</v>
          </cell>
          <cell r="L587">
            <v>20</v>
          </cell>
          <cell r="M587">
            <v>20</v>
          </cell>
          <cell r="N587">
            <v>20</v>
          </cell>
          <cell r="P587">
            <v>20</v>
          </cell>
          <cell r="Q587">
            <v>21</v>
          </cell>
          <cell r="R587">
            <v>22.05</v>
          </cell>
          <cell r="S587">
            <v>23.152500000000003</v>
          </cell>
          <cell r="U587">
            <v>25.467750000000006</v>
          </cell>
          <cell r="V587">
            <v>27.505170000000007</v>
          </cell>
          <cell r="W587">
            <v>27.505170000000007</v>
          </cell>
        </row>
        <row r="588">
          <cell r="A588" t="str">
            <v>98#2</v>
          </cell>
          <cell r="B588">
            <v>20</v>
          </cell>
          <cell r="C588">
            <v>10</v>
          </cell>
          <cell r="D588">
            <v>20</v>
          </cell>
          <cell r="E588">
            <v>20</v>
          </cell>
          <cell r="F588">
            <v>20</v>
          </cell>
          <cell r="G588">
            <v>15</v>
          </cell>
          <cell r="H588">
            <v>20</v>
          </cell>
          <cell r="I588">
            <v>20</v>
          </cell>
          <cell r="J588">
            <v>20</v>
          </cell>
          <cell r="K588">
            <v>20</v>
          </cell>
          <cell r="L588">
            <v>20</v>
          </cell>
          <cell r="M588">
            <v>20</v>
          </cell>
          <cell r="N588">
            <v>20</v>
          </cell>
          <cell r="P588">
            <v>20</v>
          </cell>
          <cell r="Q588">
            <v>21</v>
          </cell>
          <cell r="R588">
            <v>22.05</v>
          </cell>
          <cell r="S588">
            <v>23.152500000000003</v>
          </cell>
          <cell r="U588">
            <v>25.467750000000006</v>
          </cell>
          <cell r="V588">
            <v>27.505170000000007</v>
          </cell>
          <cell r="W588">
            <v>27.505170000000007</v>
          </cell>
        </row>
        <row r="589">
          <cell r="A589" t="str">
            <v>Mos</v>
          </cell>
        </row>
        <row r="590">
          <cell r="A590" t="str">
            <v>Con</v>
          </cell>
        </row>
        <row r="592">
          <cell r="A592" t="str">
            <v xml:space="preserve">WAD Average intercity tariff </v>
          </cell>
        </row>
        <row r="593">
          <cell r="B593">
            <v>35765</v>
          </cell>
          <cell r="C593">
            <v>35796</v>
          </cell>
          <cell r="D593">
            <v>35827</v>
          </cell>
          <cell r="E593">
            <v>35855</v>
          </cell>
          <cell r="F593">
            <v>35886</v>
          </cell>
          <cell r="G593">
            <v>35916</v>
          </cell>
          <cell r="H593">
            <v>35947</v>
          </cell>
          <cell r="I593">
            <v>35977</v>
          </cell>
          <cell r="J593">
            <v>36008</v>
          </cell>
          <cell r="K593">
            <v>36039</v>
          </cell>
          <cell r="L593">
            <v>36069</v>
          </cell>
          <cell r="M593">
            <v>36100</v>
          </cell>
          <cell r="N593">
            <v>36130</v>
          </cell>
          <cell r="O593" t="str">
            <v>Total 98</v>
          </cell>
          <cell r="P593" t="str">
            <v>Q1-99</v>
          </cell>
          <cell r="Q593" t="str">
            <v>Q2-99</v>
          </cell>
          <cell r="R593" t="str">
            <v>Q3-99</v>
          </cell>
          <cell r="S593" t="str">
            <v>Q4-99</v>
          </cell>
          <cell r="T593" t="str">
            <v>Total 99</v>
          </cell>
          <cell r="U593">
            <v>2000</v>
          </cell>
          <cell r="V593">
            <v>2001</v>
          </cell>
          <cell r="W593">
            <v>2002</v>
          </cell>
        </row>
        <row r="594">
          <cell r="A594" t="str">
            <v>Ark</v>
          </cell>
          <cell r="C594">
            <v>0.24</v>
          </cell>
          <cell r="D594">
            <v>0.24</v>
          </cell>
          <cell r="E594">
            <v>0.24</v>
          </cell>
          <cell r="F594">
            <v>0.24</v>
          </cell>
          <cell r="G594">
            <v>0.24</v>
          </cell>
          <cell r="H594">
            <v>0.24</v>
          </cell>
          <cell r="I594">
            <v>0.24</v>
          </cell>
          <cell r="J594">
            <v>0.24</v>
          </cell>
          <cell r="K594">
            <v>0.24</v>
          </cell>
          <cell r="L594">
            <v>0.24</v>
          </cell>
          <cell r="M594">
            <v>0.24</v>
          </cell>
          <cell r="N594">
            <v>0.24</v>
          </cell>
          <cell r="P594">
            <v>0.216</v>
          </cell>
          <cell r="Q594">
            <v>0.216</v>
          </cell>
          <cell r="R594">
            <v>0.216</v>
          </cell>
          <cell r="S594">
            <v>0.216</v>
          </cell>
          <cell r="U594">
            <v>0.19439999999999999</v>
          </cell>
          <cell r="V594">
            <v>0.17496</v>
          </cell>
          <cell r="W594">
            <v>0.15746400000000002</v>
          </cell>
        </row>
        <row r="595">
          <cell r="A595" t="str">
            <v>Eka</v>
          </cell>
          <cell r="C595">
            <v>0.24</v>
          </cell>
          <cell r="D595">
            <v>0.24</v>
          </cell>
          <cell r="E595">
            <v>0.24</v>
          </cell>
          <cell r="F595">
            <v>0.24</v>
          </cell>
          <cell r="G595">
            <v>0.24</v>
          </cell>
          <cell r="H595">
            <v>0.24</v>
          </cell>
          <cell r="I595">
            <v>0.24</v>
          </cell>
          <cell r="J595">
            <v>0.24</v>
          </cell>
          <cell r="K595">
            <v>0.24</v>
          </cell>
          <cell r="L595">
            <v>0.24</v>
          </cell>
          <cell r="M595">
            <v>0.24</v>
          </cell>
          <cell r="N595">
            <v>0.24</v>
          </cell>
          <cell r="P595">
            <v>0.24</v>
          </cell>
          <cell r="Q595">
            <v>0.24</v>
          </cell>
          <cell r="R595">
            <v>0.24</v>
          </cell>
          <cell r="S595">
            <v>0.24</v>
          </cell>
          <cell r="U595">
            <v>0.24</v>
          </cell>
          <cell r="V595">
            <v>0.24</v>
          </cell>
          <cell r="W595">
            <v>0.24</v>
          </cell>
        </row>
        <row r="596">
          <cell r="A596" t="str">
            <v>Irk</v>
          </cell>
          <cell r="C596">
            <v>0.42900000000000005</v>
          </cell>
          <cell r="D596">
            <v>0.42900000000000005</v>
          </cell>
          <cell r="E596">
            <v>0.42900000000000005</v>
          </cell>
          <cell r="F596">
            <v>0.42900000000000005</v>
          </cell>
          <cell r="G596">
            <v>0.42900000000000005</v>
          </cell>
          <cell r="H596">
            <v>0.42900000000000005</v>
          </cell>
          <cell r="I596">
            <v>0.42900000000000005</v>
          </cell>
          <cell r="J596">
            <v>0.42900000000000005</v>
          </cell>
          <cell r="K596">
            <v>0.42900000000000005</v>
          </cell>
          <cell r="L596">
            <v>0.42900000000000005</v>
          </cell>
          <cell r="M596">
            <v>0.42900000000000005</v>
          </cell>
          <cell r="N596">
            <v>0.42900000000000005</v>
          </cell>
          <cell r="P596">
            <v>0.38610000000000005</v>
          </cell>
          <cell r="Q596">
            <v>0.38610000000000005</v>
          </cell>
          <cell r="R596">
            <v>0.38610000000000005</v>
          </cell>
          <cell r="S596">
            <v>0.38610000000000005</v>
          </cell>
          <cell r="U596">
            <v>0.34749000000000008</v>
          </cell>
          <cell r="V596">
            <v>0.3127410000000001</v>
          </cell>
          <cell r="W596">
            <v>0.28146690000000008</v>
          </cell>
        </row>
        <row r="597">
          <cell r="A597" t="str">
            <v>Kha</v>
          </cell>
          <cell r="C597">
            <v>0.59</v>
          </cell>
          <cell r="D597">
            <v>0.59</v>
          </cell>
          <cell r="E597">
            <v>0.59</v>
          </cell>
          <cell r="F597">
            <v>0.59</v>
          </cell>
          <cell r="G597">
            <v>0.59</v>
          </cell>
          <cell r="H597">
            <v>0.59</v>
          </cell>
          <cell r="I597">
            <v>0.59</v>
          </cell>
          <cell r="J597">
            <v>0.59</v>
          </cell>
          <cell r="K597">
            <v>0.59</v>
          </cell>
          <cell r="L597">
            <v>0.59</v>
          </cell>
          <cell r="M597">
            <v>0.59</v>
          </cell>
          <cell r="N597">
            <v>0.59</v>
          </cell>
          <cell r="P597">
            <v>0.53100000000000003</v>
          </cell>
          <cell r="Q597">
            <v>0.53100000000000003</v>
          </cell>
          <cell r="R597">
            <v>0.53100000000000003</v>
          </cell>
          <cell r="S597">
            <v>0.53100000000000003</v>
          </cell>
          <cell r="U597">
            <v>0.47790000000000005</v>
          </cell>
          <cell r="V597">
            <v>0.43011000000000005</v>
          </cell>
          <cell r="W597">
            <v>0.38709900000000003</v>
          </cell>
        </row>
        <row r="598">
          <cell r="A598" t="str">
            <v>Kra</v>
          </cell>
          <cell r="C598">
            <v>0.24</v>
          </cell>
          <cell r="D598">
            <v>0.24</v>
          </cell>
          <cell r="E598">
            <v>0.24</v>
          </cell>
          <cell r="F598">
            <v>0.24</v>
          </cell>
          <cell r="G598">
            <v>0.24</v>
          </cell>
          <cell r="H598">
            <v>0.24</v>
          </cell>
          <cell r="I598">
            <v>0.24</v>
          </cell>
          <cell r="J598">
            <v>0.24</v>
          </cell>
          <cell r="K598">
            <v>0.24</v>
          </cell>
          <cell r="L598">
            <v>0.24</v>
          </cell>
          <cell r="M598">
            <v>0.24</v>
          </cell>
          <cell r="N598">
            <v>0.24</v>
          </cell>
          <cell r="P598">
            <v>0.24</v>
          </cell>
          <cell r="Q598">
            <v>0.24</v>
          </cell>
          <cell r="R598">
            <v>0.24</v>
          </cell>
          <cell r="S598">
            <v>0.24</v>
          </cell>
          <cell r="U598">
            <v>0.24</v>
          </cell>
          <cell r="V598">
            <v>0.24</v>
          </cell>
          <cell r="W598">
            <v>0.24</v>
          </cell>
        </row>
        <row r="599">
          <cell r="A599" t="str">
            <v>Niz</v>
          </cell>
          <cell r="C599">
            <v>0.23</v>
          </cell>
          <cell r="D599">
            <v>0.23</v>
          </cell>
          <cell r="E599">
            <v>0.23</v>
          </cell>
          <cell r="F599">
            <v>0.23</v>
          </cell>
          <cell r="G599">
            <v>0.23</v>
          </cell>
          <cell r="H599">
            <v>0.23</v>
          </cell>
          <cell r="I599">
            <v>0.23</v>
          </cell>
          <cell r="J599">
            <v>0.23</v>
          </cell>
          <cell r="K599">
            <v>0.23</v>
          </cell>
          <cell r="L599">
            <v>0.23</v>
          </cell>
          <cell r="M599">
            <v>0.23</v>
          </cell>
          <cell r="N599">
            <v>0.23</v>
          </cell>
          <cell r="P599">
            <v>0.23</v>
          </cell>
          <cell r="Q599">
            <v>0.23</v>
          </cell>
          <cell r="R599">
            <v>0.23</v>
          </cell>
          <cell r="S599">
            <v>0.23</v>
          </cell>
          <cell r="U599">
            <v>0.23</v>
          </cell>
          <cell r="V599">
            <v>0.23</v>
          </cell>
          <cell r="W599">
            <v>0.23</v>
          </cell>
        </row>
        <row r="600">
          <cell r="A600" t="str">
            <v>Nov</v>
          </cell>
          <cell r="C600">
            <v>0.39600000000000002</v>
          </cell>
          <cell r="D600">
            <v>0.39600000000000002</v>
          </cell>
          <cell r="E600">
            <v>0.39600000000000002</v>
          </cell>
          <cell r="F600">
            <v>0.39600000000000002</v>
          </cell>
          <cell r="G600">
            <v>0.39600000000000002</v>
          </cell>
          <cell r="H600">
            <v>0.39600000000000002</v>
          </cell>
          <cell r="I600">
            <v>0.39600000000000002</v>
          </cell>
          <cell r="J600">
            <v>0.39600000000000002</v>
          </cell>
          <cell r="K600">
            <v>0.39600000000000002</v>
          </cell>
          <cell r="L600">
            <v>0.39600000000000002</v>
          </cell>
          <cell r="M600">
            <v>0.39600000000000002</v>
          </cell>
          <cell r="N600">
            <v>0.39600000000000002</v>
          </cell>
          <cell r="P600">
            <v>0.35640000000000005</v>
          </cell>
          <cell r="Q600">
            <v>0.35640000000000005</v>
          </cell>
          <cell r="R600">
            <v>0.35640000000000005</v>
          </cell>
          <cell r="S600">
            <v>0.35640000000000005</v>
          </cell>
          <cell r="U600">
            <v>0.32076000000000005</v>
          </cell>
          <cell r="V600">
            <v>0.28868400000000005</v>
          </cell>
          <cell r="W600">
            <v>0.25981560000000004</v>
          </cell>
        </row>
        <row r="601">
          <cell r="A601" t="str">
            <v>Syk</v>
          </cell>
          <cell r="C601">
            <v>0.32</v>
          </cell>
          <cell r="D601">
            <v>0.32</v>
          </cell>
          <cell r="E601">
            <v>0.32</v>
          </cell>
          <cell r="F601">
            <v>0.32</v>
          </cell>
          <cell r="G601">
            <v>0.32</v>
          </cell>
          <cell r="H601">
            <v>0.32</v>
          </cell>
          <cell r="I601">
            <v>0.32</v>
          </cell>
          <cell r="J601">
            <v>0.32</v>
          </cell>
          <cell r="K601">
            <v>0.32</v>
          </cell>
          <cell r="L601">
            <v>0.32</v>
          </cell>
          <cell r="M601">
            <v>0.32</v>
          </cell>
          <cell r="N601">
            <v>0.32</v>
          </cell>
          <cell r="P601">
            <v>0.28800000000000003</v>
          </cell>
          <cell r="Q601">
            <v>0.28800000000000003</v>
          </cell>
          <cell r="R601">
            <v>0.28800000000000003</v>
          </cell>
          <cell r="S601">
            <v>0.28800000000000003</v>
          </cell>
          <cell r="U601">
            <v>0.25920000000000004</v>
          </cell>
          <cell r="V601">
            <v>0.23328000000000004</v>
          </cell>
          <cell r="W601">
            <v>0.20995200000000006</v>
          </cell>
        </row>
        <row r="602">
          <cell r="A602" t="str">
            <v>Tyu</v>
          </cell>
          <cell r="C602">
            <v>0.39600000000000002</v>
          </cell>
          <cell r="D602">
            <v>0.39600000000000002</v>
          </cell>
          <cell r="E602">
            <v>0.39600000000000002</v>
          </cell>
          <cell r="F602">
            <v>0.39600000000000002</v>
          </cell>
          <cell r="G602">
            <v>0.39600000000000002</v>
          </cell>
          <cell r="H602">
            <v>0.39600000000000002</v>
          </cell>
          <cell r="I602">
            <v>0.39600000000000002</v>
          </cell>
          <cell r="J602">
            <v>0.39600000000000002</v>
          </cell>
          <cell r="K602">
            <v>0.39600000000000002</v>
          </cell>
          <cell r="L602">
            <v>0.39600000000000002</v>
          </cell>
          <cell r="M602">
            <v>0.39600000000000002</v>
          </cell>
          <cell r="N602">
            <v>0.39600000000000002</v>
          </cell>
          <cell r="P602">
            <v>0.35640000000000005</v>
          </cell>
          <cell r="Q602">
            <v>0.35640000000000005</v>
          </cell>
          <cell r="R602">
            <v>0.35640000000000005</v>
          </cell>
          <cell r="S602">
            <v>0.35640000000000005</v>
          </cell>
          <cell r="U602">
            <v>0.32076000000000005</v>
          </cell>
          <cell r="V602">
            <v>0.28868400000000005</v>
          </cell>
          <cell r="W602">
            <v>0.25981560000000004</v>
          </cell>
        </row>
        <row r="603">
          <cell r="A603" t="str">
            <v>Ufa</v>
          </cell>
          <cell r="C603">
            <v>0.3</v>
          </cell>
          <cell r="D603">
            <v>0.3</v>
          </cell>
          <cell r="E603">
            <v>0.3</v>
          </cell>
          <cell r="F603">
            <v>0.3</v>
          </cell>
          <cell r="G603">
            <v>0.3</v>
          </cell>
          <cell r="H603">
            <v>0.3</v>
          </cell>
          <cell r="I603">
            <v>0.3</v>
          </cell>
          <cell r="J603">
            <v>0.3</v>
          </cell>
          <cell r="K603">
            <v>0.3</v>
          </cell>
          <cell r="L603">
            <v>0.3</v>
          </cell>
          <cell r="M603">
            <v>0.3</v>
          </cell>
          <cell r="N603">
            <v>0.3</v>
          </cell>
          <cell r="P603">
            <v>0.27</v>
          </cell>
          <cell r="Q603">
            <v>0.27</v>
          </cell>
          <cell r="R603">
            <v>0.27</v>
          </cell>
          <cell r="S603">
            <v>0.27</v>
          </cell>
          <cell r="U603">
            <v>0.24300000000000002</v>
          </cell>
          <cell r="V603">
            <v>0.21870000000000003</v>
          </cell>
          <cell r="W603">
            <v>0.19683000000000003</v>
          </cell>
        </row>
        <row r="604">
          <cell r="A604" t="str">
            <v>Vla</v>
          </cell>
          <cell r="C604">
            <v>0.47249999999999998</v>
          </cell>
          <cell r="D604">
            <v>0.47249999999999998</v>
          </cell>
          <cell r="E604">
            <v>0.47249999999999998</v>
          </cell>
          <cell r="F604">
            <v>0.47249999999999998</v>
          </cell>
          <cell r="G604">
            <v>0.47249999999999998</v>
          </cell>
          <cell r="H604">
            <v>0.47249999999999998</v>
          </cell>
          <cell r="I604">
            <v>0.47249999999999998</v>
          </cell>
          <cell r="J604">
            <v>0.47249999999999998</v>
          </cell>
          <cell r="K604">
            <v>0.47249999999999998</v>
          </cell>
          <cell r="L604">
            <v>0.47249999999999998</v>
          </cell>
          <cell r="M604">
            <v>0.47249999999999998</v>
          </cell>
          <cell r="N604">
            <v>0.47249999999999998</v>
          </cell>
          <cell r="P604">
            <v>0.42524999999999996</v>
          </cell>
          <cell r="Q604">
            <v>0.42524999999999996</v>
          </cell>
          <cell r="R604">
            <v>0.42524999999999996</v>
          </cell>
          <cell r="S604">
            <v>0.42524999999999996</v>
          </cell>
          <cell r="U604">
            <v>0.38272499999999998</v>
          </cell>
          <cell r="V604">
            <v>0.34445249999999999</v>
          </cell>
          <cell r="W604">
            <v>0.31000725000000001</v>
          </cell>
        </row>
        <row r="605">
          <cell r="A605" t="str">
            <v>Vol</v>
          </cell>
          <cell r="C605">
            <v>0.39</v>
          </cell>
          <cell r="D605">
            <v>0.39</v>
          </cell>
          <cell r="E605">
            <v>0.39</v>
          </cell>
          <cell r="F605">
            <v>0.39</v>
          </cell>
          <cell r="G605">
            <v>0.39</v>
          </cell>
          <cell r="H605">
            <v>0.39</v>
          </cell>
          <cell r="I605">
            <v>0.39</v>
          </cell>
          <cell r="J605">
            <v>0.39</v>
          </cell>
          <cell r="K605">
            <v>0.39</v>
          </cell>
          <cell r="L605">
            <v>0.39</v>
          </cell>
          <cell r="M605">
            <v>0.39</v>
          </cell>
          <cell r="N605">
            <v>0.39</v>
          </cell>
          <cell r="P605">
            <v>0.35100000000000003</v>
          </cell>
          <cell r="Q605">
            <v>0.35100000000000003</v>
          </cell>
          <cell r="R605">
            <v>0.35100000000000003</v>
          </cell>
          <cell r="S605">
            <v>0.35100000000000003</v>
          </cell>
          <cell r="U605">
            <v>0.31590000000000001</v>
          </cell>
          <cell r="V605">
            <v>0.28431000000000001</v>
          </cell>
          <cell r="W605">
            <v>0.25587900000000002</v>
          </cell>
        </row>
        <row r="606">
          <cell r="A606" t="str">
            <v>Vor</v>
          </cell>
          <cell r="C606">
            <v>0.24</v>
          </cell>
          <cell r="D606">
            <v>0.24</v>
          </cell>
          <cell r="E606">
            <v>0.24</v>
          </cell>
          <cell r="F606">
            <v>0.24</v>
          </cell>
          <cell r="G606">
            <v>0.24</v>
          </cell>
          <cell r="H606">
            <v>0.24</v>
          </cell>
          <cell r="I606">
            <v>0.24</v>
          </cell>
          <cell r="J606">
            <v>0.24</v>
          </cell>
          <cell r="K606">
            <v>0.24</v>
          </cell>
          <cell r="L606">
            <v>0.24</v>
          </cell>
          <cell r="M606">
            <v>0.24</v>
          </cell>
          <cell r="N606">
            <v>0.24</v>
          </cell>
          <cell r="P606">
            <v>0.216</v>
          </cell>
          <cell r="Q606">
            <v>0.216</v>
          </cell>
          <cell r="R606">
            <v>0.216</v>
          </cell>
          <cell r="S606">
            <v>0.216</v>
          </cell>
          <cell r="U606">
            <v>0.19439999999999999</v>
          </cell>
          <cell r="V606">
            <v>0.19439999999999999</v>
          </cell>
          <cell r="W606">
            <v>0.19439999999999999</v>
          </cell>
        </row>
        <row r="607">
          <cell r="A607" t="str">
            <v>97#1</v>
          </cell>
          <cell r="C607">
            <v>0.3</v>
          </cell>
          <cell r="D607">
            <v>0.3</v>
          </cell>
          <cell r="E607">
            <v>0.3</v>
          </cell>
          <cell r="F607">
            <v>0.3</v>
          </cell>
          <cell r="G607">
            <v>0.3</v>
          </cell>
          <cell r="H607">
            <v>0.3</v>
          </cell>
          <cell r="I607">
            <v>0.3</v>
          </cell>
          <cell r="J607">
            <v>0.3</v>
          </cell>
          <cell r="K607">
            <v>0.3</v>
          </cell>
          <cell r="L607">
            <v>0.3</v>
          </cell>
          <cell r="M607">
            <v>0.3</v>
          </cell>
          <cell r="N607">
            <v>0.3</v>
          </cell>
          <cell r="P607">
            <v>0.27</v>
          </cell>
          <cell r="Q607">
            <v>0.27</v>
          </cell>
          <cell r="R607">
            <v>0.27</v>
          </cell>
          <cell r="S607">
            <v>0.27</v>
          </cell>
          <cell r="U607">
            <v>0.24300000000000002</v>
          </cell>
          <cell r="V607">
            <v>0.24300000000000002</v>
          </cell>
          <cell r="W607">
            <v>0.24300000000000002</v>
          </cell>
        </row>
        <row r="608">
          <cell r="A608" t="str">
            <v>97#2</v>
          </cell>
          <cell r="C608">
            <v>0.3</v>
          </cell>
          <cell r="D608">
            <v>0.3</v>
          </cell>
          <cell r="E608">
            <v>0.3</v>
          </cell>
          <cell r="F608">
            <v>0.3</v>
          </cell>
          <cell r="G608">
            <v>0.3</v>
          </cell>
          <cell r="H608">
            <v>0.3</v>
          </cell>
          <cell r="I608">
            <v>0.3</v>
          </cell>
          <cell r="J608">
            <v>0.3</v>
          </cell>
          <cell r="K608">
            <v>0.3</v>
          </cell>
          <cell r="L608">
            <v>0.3</v>
          </cell>
          <cell r="M608">
            <v>0.3</v>
          </cell>
          <cell r="N608">
            <v>0.3</v>
          </cell>
          <cell r="P608">
            <v>0.27</v>
          </cell>
          <cell r="Q608">
            <v>0.27</v>
          </cell>
          <cell r="R608">
            <v>0.27</v>
          </cell>
          <cell r="S608">
            <v>0.27</v>
          </cell>
          <cell r="U608">
            <v>0.24300000000000002</v>
          </cell>
          <cell r="V608">
            <v>0.24300000000000002</v>
          </cell>
          <cell r="W608">
            <v>0.24300000000000002</v>
          </cell>
        </row>
        <row r="609">
          <cell r="A609" t="str">
            <v>98#1</v>
          </cell>
          <cell r="C609">
            <v>0.3</v>
          </cell>
          <cell r="D609">
            <v>0.3</v>
          </cell>
          <cell r="E609">
            <v>0.3</v>
          </cell>
          <cell r="F609">
            <v>0.3</v>
          </cell>
          <cell r="G609">
            <v>0.3</v>
          </cell>
          <cell r="H609">
            <v>0.3</v>
          </cell>
          <cell r="I609">
            <v>0.3</v>
          </cell>
          <cell r="J609">
            <v>0.3</v>
          </cell>
          <cell r="K609">
            <v>0.3</v>
          </cell>
          <cell r="L609">
            <v>0.3</v>
          </cell>
          <cell r="M609">
            <v>0.3</v>
          </cell>
          <cell r="N609">
            <v>0.3</v>
          </cell>
          <cell r="P609">
            <v>0.27</v>
          </cell>
          <cell r="Q609">
            <v>0.27</v>
          </cell>
          <cell r="R609">
            <v>0.27</v>
          </cell>
          <cell r="S609">
            <v>0.27</v>
          </cell>
          <cell r="U609">
            <v>0.24300000000000002</v>
          </cell>
          <cell r="V609">
            <v>0.24300000000000002</v>
          </cell>
          <cell r="W609">
            <v>0.24300000000000002</v>
          </cell>
        </row>
        <row r="610">
          <cell r="A610" t="str">
            <v>98#2</v>
          </cell>
          <cell r="C610">
            <v>0.3</v>
          </cell>
          <cell r="D610">
            <v>0.3</v>
          </cell>
          <cell r="E610">
            <v>0.3</v>
          </cell>
          <cell r="F610">
            <v>0.3</v>
          </cell>
          <cell r="G610">
            <v>0.3</v>
          </cell>
          <cell r="H610">
            <v>0.3</v>
          </cell>
          <cell r="I610">
            <v>0.3</v>
          </cell>
          <cell r="J610">
            <v>0.3</v>
          </cell>
          <cell r="K610">
            <v>0.3</v>
          </cell>
          <cell r="L610">
            <v>0.3</v>
          </cell>
          <cell r="M610">
            <v>0.3</v>
          </cell>
          <cell r="N610">
            <v>0.3</v>
          </cell>
          <cell r="P610">
            <v>0.27</v>
          </cell>
          <cell r="Q610">
            <v>0.27</v>
          </cell>
          <cell r="R610">
            <v>0.27</v>
          </cell>
          <cell r="S610">
            <v>0.27</v>
          </cell>
          <cell r="U610">
            <v>0.24300000000000002</v>
          </cell>
          <cell r="V610">
            <v>0.24300000000000002</v>
          </cell>
          <cell r="W610">
            <v>0.24300000000000002</v>
          </cell>
        </row>
        <row r="611">
          <cell r="A611" t="str">
            <v>Mos</v>
          </cell>
        </row>
        <row r="612">
          <cell r="A612" t="str">
            <v>Con</v>
          </cell>
          <cell r="C612">
            <v>1.1206730769230768</v>
          </cell>
          <cell r="D612">
            <v>1.1206730769230768</v>
          </cell>
          <cell r="E612">
            <v>1.1206730769230768</v>
          </cell>
          <cell r="F612">
            <v>1.1206730769230768</v>
          </cell>
          <cell r="G612">
            <v>1.1206730769230768</v>
          </cell>
          <cell r="H612">
            <v>1.1206730769230768</v>
          </cell>
          <cell r="I612">
            <v>1.1206730769230768</v>
          </cell>
          <cell r="J612">
            <v>1.1206730769230768</v>
          </cell>
          <cell r="K612">
            <v>1.1206730769230768</v>
          </cell>
          <cell r="L612">
            <v>1.1206730769230768</v>
          </cell>
          <cell r="M612">
            <v>1.1206730769230768</v>
          </cell>
          <cell r="N612">
            <v>1.1206730769230768</v>
          </cell>
          <cell r="P612">
            <v>1.0086057692307693</v>
          </cell>
          <cell r="Q612">
            <v>1.0086057692307693</v>
          </cell>
          <cell r="R612">
            <v>1.0086057692307693</v>
          </cell>
          <cell r="S612">
            <v>1.0086057692307693</v>
          </cell>
          <cell r="U612">
            <v>0.90774519230769235</v>
          </cell>
          <cell r="V612">
            <v>0.81697067307692317</v>
          </cell>
          <cell r="W612">
            <v>0.73527360576923084</v>
          </cell>
        </row>
        <row r="614">
          <cell r="A614" t="str">
            <v>WAD Number of international min. per line</v>
          </cell>
        </row>
        <row r="615">
          <cell r="B615">
            <v>35765</v>
          </cell>
          <cell r="C615">
            <v>35796</v>
          </cell>
          <cell r="D615">
            <v>35827</v>
          </cell>
          <cell r="E615">
            <v>35855</v>
          </cell>
          <cell r="F615">
            <v>35886</v>
          </cell>
          <cell r="G615">
            <v>35916</v>
          </cell>
          <cell r="H615">
            <v>35947</v>
          </cell>
          <cell r="I615">
            <v>35977</v>
          </cell>
          <cell r="J615">
            <v>36008</v>
          </cell>
          <cell r="K615">
            <v>36039</v>
          </cell>
          <cell r="L615">
            <v>36069</v>
          </cell>
          <cell r="M615">
            <v>36100</v>
          </cell>
          <cell r="N615">
            <v>36130</v>
          </cell>
          <cell r="O615" t="str">
            <v>Total 98</v>
          </cell>
          <cell r="P615" t="str">
            <v>Q1-99</v>
          </cell>
          <cell r="Q615" t="str">
            <v>Q2-99</v>
          </cell>
          <cell r="R615" t="str">
            <v>Q3-99</v>
          </cell>
          <cell r="S615" t="str">
            <v>Q4-99</v>
          </cell>
          <cell r="T615" t="str">
            <v>Total 99</v>
          </cell>
          <cell r="U615">
            <v>2000</v>
          </cell>
          <cell r="V615">
            <v>2001</v>
          </cell>
          <cell r="W615">
            <v>2002</v>
          </cell>
        </row>
        <row r="616">
          <cell r="A616" t="str">
            <v>Ark</v>
          </cell>
          <cell r="B616">
            <v>20</v>
          </cell>
          <cell r="C616">
            <v>10</v>
          </cell>
          <cell r="D616">
            <v>20</v>
          </cell>
          <cell r="E616">
            <v>20</v>
          </cell>
          <cell r="F616">
            <v>20</v>
          </cell>
          <cell r="G616">
            <v>15</v>
          </cell>
          <cell r="H616">
            <v>20</v>
          </cell>
          <cell r="I616">
            <v>20</v>
          </cell>
          <cell r="J616">
            <v>20</v>
          </cell>
          <cell r="K616">
            <v>20</v>
          </cell>
          <cell r="L616">
            <v>20</v>
          </cell>
          <cell r="M616">
            <v>20</v>
          </cell>
          <cell r="N616">
            <v>20</v>
          </cell>
          <cell r="P616">
            <v>20</v>
          </cell>
          <cell r="Q616">
            <v>20.399999999999999</v>
          </cell>
          <cell r="R616">
            <v>20.808</v>
          </cell>
          <cell r="S616">
            <v>21.848400000000002</v>
          </cell>
          <cell r="U616">
            <v>23.377788000000002</v>
          </cell>
          <cell r="V616">
            <v>24.312899520000002</v>
          </cell>
          <cell r="W616">
            <v>24.312899520000002</v>
          </cell>
        </row>
        <row r="617">
          <cell r="A617" t="str">
            <v>Eka</v>
          </cell>
          <cell r="B617">
            <v>5</v>
          </cell>
          <cell r="C617">
            <v>2.5</v>
          </cell>
          <cell r="D617">
            <v>5</v>
          </cell>
          <cell r="E617">
            <v>5</v>
          </cell>
          <cell r="F617">
            <v>5</v>
          </cell>
          <cell r="G617">
            <v>3.75</v>
          </cell>
          <cell r="H617">
            <v>5</v>
          </cell>
          <cell r="I617">
            <v>5</v>
          </cell>
          <cell r="J617">
            <v>5</v>
          </cell>
          <cell r="K617">
            <v>5</v>
          </cell>
          <cell r="L617">
            <v>5</v>
          </cell>
          <cell r="M617">
            <v>5</v>
          </cell>
          <cell r="N617">
            <v>5</v>
          </cell>
          <cell r="P617">
            <v>5</v>
          </cell>
          <cell r="Q617">
            <v>5.0999999999999996</v>
          </cell>
          <cell r="R617">
            <v>5.202</v>
          </cell>
          <cell r="S617">
            <v>5.4621000000000004</v>
          </cell>
          <cell r="U617">
            <v>5.8444470000000006</v>
          </cell>
          <cell r="V617">
            <v>6.0782248800000005</v>
          </cell>
          <cell r="W617">
            <v>6.0782248800000005</v>
          </cell>
        </row>
        <row r="618">
          <cell r="A618" t="str">
            <v>Irk</v>
          </cell>
          <cell r="B618">
            <v>2</v>
          </cell>
          <cell r="C618">
            <v>1</v>
          </cell>
          <cell r="D618">
            <v>2</v>
          </cell>
          <cell r="E618">
            <v>2</v>
          </cell>
          <cell r="F618">
            <v>2</v>
          </cell>
          <cell r="G618">
            <v>1.5</v>
          </cell>
          <cell r="H618">
            <v>2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2</v>
          </cell>
          <cell r="N618">
            <v>2</v>
          </cell>
          <cell r="P618">
            <v>2</v>
          </cell>
          <cell r="Q618">
            <v>2.04</v>
          </cell>
          <cell r="R618">
            <v>2.0808</v>
          </cell>
          <cell r="S618">
            <v>2.1848399999999999</v>
          </cell>
          <cell r="U618">
            <v>2.3377788000000002</v>
          </cell>
          <cell r="V618">
            <v>2.4312899520000002</v>
          </cell>
          <cell r="W618">
            <v>2.4312899520000002</v>
          </cell>
        </row>
        <row r="619">
          <cell r="A619" t="str">
            <v>Kha</v>
          </cell>
          <cell r="B619">
            <v>15</v>
          </cell>
          <cell r="C619">
            <v>7.5</v>
          </cell>
          <cell r="D619">
            <v>15</v>
          </cell>
          <cell r="E619">
            <v>15</v>
          </cell>
          <cell r="F619">
            <v>15</v>
          </cell>
          <cell r="G619">
            <v>11.25</v>
          </cell>
          <cell r="H619">
            <v>15</v>
          </cell>
          <cell r="I619">
            <v>15</v>
          </cell>
          <cell r="J619">
            <v>15</v>
          </cell>
          <cell r="K619">
            <v>15</v>
          </cell>
          <cell r="L619">
            <v>15</v>
          </cell>
          <cell r="M619">
            <v>15</v>
          </cell>
          <cell r="N619">
            <v>15</v>
          </cell>
          <cell r="P619">
            <v>15</v>
          </cell>
          <cell r="Q619">
            <v>15.3</v>
          </cell>
          <cell r="R619">
            <v>15.606000000000002</v>
          </cell>
          <cell r="S619">
            <v>16.386300000000002</v>
          </cell>
          <cell r="U619">
            <v>17.533341000000004</v>
          </cell>
          <cell r="V619">
            <v>18.234674640000005</v>
          </cell>
          <cell r="W619">
            <v>18.234674640000005</v>
          </cell>
        </row>
        <row r="620">
          <cell r="A620" t="str">
            <v>Kra</v>
          </cell>
          <cell r="B620">
            <v>1.5</v>
          </cell>
          <cell r="C620">
            <v>0.75</v>
          </cell>
          <cell r="D620">
            <v>1.5</v>
          </cell>
          <cell r="E620">
            <v>1.5</v>
          </cell>
          <cell r="F620">
            <v>1.5</v>
          </cell>
          <cell r="G620">
            <v>1.125</v>
          </cell>
          <cell r="H620">
            <v>2</v>
          </cell>
          <cell r="I620">
            <v>2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2</v>
          </cell>
          <cell r="P620">
            <v>2</v>
          </cell>
          <cell r="Q620">
            <v>2.04</v>
          </cell>
          <cell r="R620">
            <v>2.0808</v>
          </cell>
          <cell r="S620">
            <v>2.1848399999999999</v>
          </cell>
          <cell r="U620">
            <v>2.3377788000000002</v>
          </cell>
          <cell r="V620">
            <v>2.4312899520000002</v>
          </cell>
          <cell r="W620">
            <v>2.4312899520000002</v>
          </cell>
        </row>
        <row r="621">
          <cell r="A621" t="str">
            <v>Niz</v>
          </cell>
          <cell r="B621">
            <v>2</v>
          </cell>
          <cell r="C621">
            <v>1</v>
          </cell>
          <cell r="D621">
            <v>2</v>
          </cell>
          <cell r="E621">
            <v>2</v>
          </cell>
          <cell r="F621">
            <v>2</v>
          </cell>
          <cell r="G621">
            <v>1.5</v>
          </cell>
          <cell r="H621">
            <v>2</v>
          </cell>
          <cell r="I621">
            <v>5</v>
          </cell>
          <cell r="J621">
            <v>5</v>
          </cell>
          <cell r="K621">
            <v>5</v>
          </cell>
          <cell r="L621">
            <v>5</v>
          </cell>
          <cell r="M621">
            <v>5</v>
          </cell>
          <cell r="N621">
            <v>5</v>
          </cell>
          <cell r="P621">
            <v>5</v>
          </cell>
          <cell r="Q621">
            <v>5.0999999999999996</v>
          </cell>
          <cell r="R621">
            <v>5.202</v>
          </cell>
          <cell r="S621">
            <v>5.4621000000000004</v>
          </cell>
          <cell r="U621">
            <v>5.8444470000000006</v>
          </cell>
          <cell r="V621">
            <v>6.0782248800000005</v>
          </cell>
          <cell r="W621">
            <v>6.0782248800000005</v>
          </cell>
        </row>
        <row r="622">
          <cell r="A622" t="str">
            <v>Nov</v>
          </cell>
          <cell r="B622">
            <v>7</v>
          </cell>
          <cell r="C622">
            <v>3.5</v>
          </cell>
          <cell r="D622">
            <v>7</v>
          </cell>
          <cell r="E622">
            <v>7</v>
          </cell>
          <cell r="F622">
            <v>7</v>
          </cell>
          <cell r="G622">
            <v>5.25</v>
          </cell>
          <cell r="H622">
            <v>7</v>
          </cell>
          <cell r="I622">
            <v>7</v>
          </cell>
          <cell r="J622">
            <v>7</v>
          </cell>
          <cell r="K622">
            <v>7</v>
          </cell>
          <cell r="L622">
            <v>7</v>
          </cell>
          <cell r="M622">
            <v>7</v>
          </cell>
          <cell r="N622">
            <v>7</v>
          </cell>
          <cell r="P622">
            <v>7</v>
          </cell>
          <cell r="Q622">
            <v>7.1400000000000006</v>
          </cell>
          <cell r="R622">
            <v>7.2828000000000008</v>
          </cell>
          <cell r="S622">
            <v>7.6469400000000016</v>
          </cell>
          <cell r="U622">
            <v>8.182225800000003</v>
          </cell>
          <cell r="V622">
            <v>8.5095148320000042</v>
          </cell>
          <cell r="W622">
            <v>8.5095148320000042</v>
          </cell>
        </row>
        <row r="623">
          <cell r="A623" t="str">
            <v>Syk</v>
          </cell>
          <cell r="B623">
            <v>6</v>
          </cell>
          <cell r="C623">
            <v>3</v>
          </cell>
          <cell r="D623">
            <v>6</v>
          </cell>
          <cell r="E623">
            <v>6</v>
          </cell>
          <cell r="F623">
            <v>6</v>
          </cell>
          <cell r="G623">
            <v>4.5</v>
          </cell>
          <cell r="H623">
            <v>6</v>
          </cell>
          <cell r="I623">
            <v>6</v>
          </cell>
          <cell r="J623">
            <v>6</v>
          </cell>
          <cell r="K623">
            <v>6</v>
          </cell>
          <cell r="L623">
            <v>6</v>
          </cell>
          <cell r="M623">
            <v>6</v>
          </cell>
          <cell r="N623">
            <v>6</v>
          </cell>
          <cell r="P623">
            <v>6</v>
          </cell>
          <cell r="Q623">
            <v>6.12</v>
          </cell>
          <cell r="R623">
            <v>6.2423999999999999</v>
          </cell>
          <cell r="S623">
            <v>6.5545200000000001</v>
          </cell>
          <cell r="U623">
            <v>7.0133364000000009</v>
          </cell>
          <cell r="V623">
            <v>7.2938698560000015</v>
          </cell>
          <cell r="W623">
            <v>7.2938698560000015</v>
          </cell>
        </row>
        <row r="624">
          <cell r="A624" t="str">
            <v>Tyu</v>
          </cell>
          <cell r="B624">
            <v>10</v>
          </cell>
          <cell r="C624">
            <v>5</v>
          </cell>
          <cell r="D624">
            <v>10</v>
          </cell>
          <cell r="E624">
            <v>10</v>
          </cell>
          <cell r="F624">
            <v>10</v>
          </cell>
          <cell r="G624">
            <v>7.5</v>
          </cell>
          <cell r="H624">
            <v>10</v>
          </cell>
          <cell r="I624">
            <v>10</v>
          </cell>
          <cell r="J624">
            <v>10</v>
          </cell>
          <cell r="K624">
            <v>10</v>
          </cell>
          <cell r="L624">
            <v>10</v>
          </cell>
          <cell r="M624">
            <v>10</v>
          </cell>
          <cell r="N624">
            <v>10</v>
          </cell>
          <cell r="P624">
            <v>10</v>
          </cell>
          <cell r="Q624">
            <v>10.199999999999999</v>
          </cell>
          <cell r="R624">
            <v>10.404</v>
          </cell>
          <cell r="S624">
            <v>10.924200000000001</v>
          </cell>
          <cell r="U624">
            <v>11.688894000000001</v>
          </cell>
          <cell r="V624">
            <v>12.156449760000001</v>
          </cell>
          <cell r="W624">
            <v>12.156449760000001</v>
          </cell>
        </row>
        <row r="625">
          <cell r="A625" t="str">
            <v>Ufa</v>
          </cell>
          <cell r="B625">
            <v>10</v>
          </cell>
          <cell r="C625">
            <v>5</v>
          </cell>
          <cell r="D625">
            <v>10</v>
          </cell>
          <cell r="E625">
            <v>10</v>
          </cell>
          <cell r="F625">
            <v>10</v>
          </cell>
          <cell r="G625">
            <v>7.5</v>
          </cell>
          <cell r="H625">
            <v>10</v>
          </cell>
          <cell r="I625">
            <v>10</v>
          </cell>
          <cell r="J625">
            <v>10</v>
          </cell>
          <cell r="K625">
            <v>10</v>
          </cell>
          <cell r="L625">
            <v>10</v>
          </cell>
          <cell r="M625">
            <v>10</v>
          </cell>
          <cell r="N625">
            <v>10</v>
          </cell>
          <cell r="P625">
            <v>10</v>
          </cell>
          <cell r="Q625">
            <v>10.199999999999999</v>
          </cell>
          <cell r="R625">
            <v>10.404</v>
          </cell>
          <cell r="S625">
            <v>10.924200000000001</v>
          </cell>
          <cell r="U625">
            <v>11.688894000000001</v>
          </cell>
          <cell r="V625">
            <v>12.156449760000001</v>
          </cell>
          <cell r="W625">
            <v>12.156449760000001</v>
          </cell>
        </row>
        <row r="626">
          <cell r="A626" t="str">
            <v>Vla</v>
          </cell>
          <cell r="B626">
            <v>5</v>
          </cell>
          <cell r="C626">
            <v>2.5</v>
          </cell>
          <cell r="D626">
            <v>5</v>
          </cell>
          <cell r="E626">
            <v>5</v>
          </cell>
          <cell r="F626">
            <v>5</v>
          </cell>
          <cell r="G626">
            <v>3.75</v>
          </cell>
          <cell r="H626">
            <v>5</v>
          </cell>
          <cell r="I626">
            <v>5</v>
          </cell>
          <cell r="J626">
            <v>5</v>
          </cell>
          <cell r="K626">
            <v>5</v>
          </cell>
          <cell r="L626">
            <v>5</v>
          </cell>
          <cell r="M626">
            <v>5</v>
          </cell>
          <cell r="N626">
            <v>5</v>
          </cell>
          <cell r="P626">
            <v>5</v>
          </cell>
          <cell r="Q626">
            <v>5.0999999999999996</v>
          </cell>
          <cell r="R626">
            <v>5.202</v>
          </cell>
          <cell r="S626">
            <v>5.4621000000000004</v>
          </cell>
          <cell r="U626">
            <v>5.8444470000000006</v>
          </cell>
          <cell r="V626">
            <v>6.0782248800000005</v>
          </cell>
          <cell r="W626">
            <v>6.0782248800000005</v>
          </cell>
        </row>
        <row r="627">
          <cell r="A627" t="str">
            <v>Vol</v>
          </cell>
          <cell r="B627">
            <v>2</v>
          </cell>
          <cell r="C627">
            <v>1</v>
          </cell>
          <cell r="D627">
            <v>2</v>
          </cell>
          <cell r="E627">
            <v>2</v>
          </cell>
          <cell r="F627">
            <v>2</v>
          </cell>
          <cell r="G627">
            <v>1.5</v>
          </cell>
          <cell r="H627">
            <v>2</v>
          </cell>
          <cell r="I627">
            <v>2</v>
          </cell>
          <cell r="J627">
            <v>2</v>
          </cell>
          <cell r="K627">
            <v>2</v>
          </cell>
          <cell r="L627">
            <v>2</v>
          </cell>
          <cell r="M627">
            <v>2</v>
          </cell>
          <cell r="N627">
            <v>2</v>
          </cell>
          <cell r="P627">
            <v>2</v>
          </cell>
          <cell r="Q627">
            <v>2.04</v>
          </cell>
          <cell r="R627">
            <v>2.0808</v>
          </cell>
          <cell r="S627">
            <v>2.1848399999999999</v>
          </cell>
          <cell r="U627">
            <v>2.3377788000000002</v>
          </cell>
          <cell r="V627">
            <v>2.4312899520000002</v>
          </cell>
          <cell r="W627">
            <v>2.4312899520000002</v>
          </cell>
        </row>
        <row r="628">
          <cell r="A628" t="str">
            <v>Vor</v>
          </cell>
          <cell r="B628">
            <v>3</v>
          </cell>
          <cell r="C628">
            <v>1.5</v>
          </cell>
          <cell r="D628">
            <v>3</v>
          </cell>
          <cell r="E628">
            <v>3</v>
          </cell>
          <cell r="F628">
            <v>3</v>
          </cell>
          <cell r="G628">
            <v>2.25</v>
          </cell>
          <cell r="H628">
            <v>3</v>
          </cell>
          <cell r="I628">
            <v>3</v>
          </cell>
          <cell r="J628">
            <v>3</v>
          </cell>
          <cell r="K628">
            <v>3</v>
          </cell>
          <cell r="L628">
            <v>3</v>
          </cell>
          <cell r="M628">
            <v>3</v>
          </cell>
          <cell r="N628">
            <v>3</v>
          </cell>
          <cell r="P628">
            <v>3</v>
          </cell>
          <cell r="Q628">
            <v>3.06</v>
          </cell>
          <cell r="R628">
            <v>3.1212</v>
          </cell>
          <cell r="S628">
            <v>3.2772600000000001</v>
          </cell>
          <cell r="U628">
            <v>3.5066682000000005</v>
          </cell>
          <cell r="V628">
            <v>3.6469349280000007</v>
          </cell>
          <cell r="W628">
            <v>3.6469349280000007</v>
          </cell>
        </row>
        <row r="629">
          <cell r="A629" t="str">
            <v>97#1</v>
          </cell>
          <cell r="B629">
            <v>3</v>
          </cell>
          <cell r="C629">
            <v>1.5</v>
          </cell>
          <cell r="D629">
            <v>3</v>
          </cell>
          <cell r="E629">
            <v>3</v>
          </cell>
          <cell r="F629">
            <v>3</v>
          </cell>
          <cell r="G629">
            <v>2.25</v>
          </cell>
          <cell r="H629">
            <v>3</v>
          </cell>
          <cell r="I629">
            <v>3</v>
          </cell>
          <cell r="J629">
            <v>3</v>
          </cell>
          <cell r="K629">
            <v>3</v>
          </cell>
          <cell r="L629">
            <v>3</v>
          </cell>
          <cell r="M629">
            <v>3</v>
          </cell>
          <cell r="N629">
            <v>3</v>
          </cell>
          <cell r="P629">
            <v>3</v>
          </cell>
          <cell r="Q629">
            <v>3.06</v>
          </cell>
          <cell r="R629">
            <v>3.1212</v>
          </cell>
          <cell r="S629">
            <v>3.2772600000000001</v>
          </cell>
          <cell r="U629">
            <v>3.5066682000000005</v>
          </cell>
          <cell r="V629">
            <v>3.6469349280000007</v>
          </cell>
          <cell r="W629">
            <v>3.6469349280000007</v>
          </cell>
        </row>
        <row r="630">
          <cell r="A630" t="str">
            <v>97#2</v>
          </cell>
          <cell r="B630">
            <v>5</v>
          </cell>
          <cell r="C630">
            <v>2.5</v>
          </cell>
          <cell r="D630">
            <v>5</v>
          </cell>
          <cell r="E630">
            <v>5</v>
          </cell>
          <cell r="F630">
            <v>5</v>
          </cell>
          <cell r="G630">
            <v>3.75</v>
          </cell>
          <cell r="H630">
            <v>5</v>
          </cell>
          <cell r="I630">
            <v>5</v>
          </cell>
          <cell r="J630">
            <v>5</v>
          </cell>
          <cell r="K630">
            <v>5</v>
          </cell>
          <cell r="L630">
            <v>5</v>
          </cell>
          <cell r="M630">
            <v>5</v>
          </cell>
          <cell r="N630">
            <v>5</v>
          </cell>
          <cell r="P630">
            <v>5</v>
          </cell>
          <cell r="Q630">
            <v>5.0999999999999996</v>
          </cell>
          <cell r="R630">
            <v>5.202</v>
          </cell>
          <cell r="S630">
            <v>5.4621000000000004</v>
          </cell>
          <cell r="U630">
            <v>5.8444470000000006</v>
          </cell>
          <cell r="V630">
            <v>6.0782248800000005</v>
          </cell>
          <cell r="W630">
            <v>6.0782248800000005</v>
          </cell>
        </row>
        <row r="631">
          <cell r="A631" t="str">
            <v>98#1</v>
          </cell>
          <cell r="B631">
            <v>3</v>
          </cell>
          <cell r="C631">
            <v>1.5</v>
          </cell>
          <cell r="D631">
            <v>3</v>
          </cell>
          <cell r="E631">
            <v>3</v>
          </cell>
          <cell r="F631">
            <v>3</v>
          </cell>
          <cell r="G631">
            <v>2.25</v>
          </cell>
          <cell r="H631">
            <v>3</v>
          </cell>
          <cell r="I631">
            <v>3</v>
          </cell>
          <cell r="J631">
            <v>3</v>
          </cell>
          <cell r="K631">
            <v>3</v>
          </cell>
          <cell r="L631">
            <v>3</v>
          </cell>
          <cell r="M631">
            <v>3</v>
          </cell>
          <cell r="N631">
            <v>3</v>
          </cell>
          <cell r="P631">
            <v>3</v>
          </cell>
          <cell r="Q631">
            <v>3.06</v>
          </cell>
          <cell r="R631">
            <v>3.1212</v>
          </cell>
          <cell r="S631">
            <v>3.2772600000000001</v>
          </cell>
          <cell r="U631">
            <v>3.5066682000000005</v>
          </cell>
          <cell r="V631">
            <v>3.6469349280000007</v>
          </cell>
          <cell r="W631">
            <v>3.6469349280000007</v>
          </cell>
        </row>
        <row r="632">
          <cell r="A632" t="str">
            <v>98#2</v>
          </cell>
          <cell r="B632">
            <v>3</v>
          </cell>
          <cell r="C632">
            <v>1.5</v>
          </cell>
          <cell r="D632">
            <v>3</v>
          </cell>
          <cell r="E632">
            <v>3</v>
          </cell>
          <cell r="F632">
            <v>3</v>
          </cell>
          <cell r="G632">
            <v>2.25</v>
          </cell>
          <cell r="H632">
            <v>3</v>
          </cell>
          <cell r="I632">
            <v>3</v>
          </cell>
          <cell r="J632">
            <v>3</v>
          </cell>
          <cell r="K632">
            <v>3</v>
          </cell>
          <cell r="L632">
            <v>3</v>
          </cell>
          <cell r="M632">
            <v>3</v>
          </cell>
          <cell r="N632">
            <v>3</v>
          </cell>
          <cell r="P632">
            <v>3</v>
          </cell>
          <cell r="Q632">
            <v>3.06</v>
          </cell>
          <cell r="R632">
            <v>3.1212</v>
          </cell>
          <cell r="S632">
            <v>3.2772600000000001</v>
          </cell>
          <cell r="U632">
            <v>3.5066682000000005</v>
          </cell>
          <cell r="V632">
            <v>3.6469349280000007</v>
          </cell>
          <cell r="W632">
            <v>3.6469349280000007</v>
          </cell>
        </row>
        <row r="633">
          <cell r="A633" t="str">
            <v>Mos</v>
          </cell>
        </row>
        <row r="634">
          <cell r="A634" t="str">
            <v>Con</v>
          </cell>
          <cell r="B634">
            <v>7</v>
          </cell>
          <cell r="C634">
            <v>3.5</v>
          </cell>
          <cell r="D634">
            <v>7</v>
          </cell>
          <cell r="E634">
            <v>7</v>
          </cell>
          <cell r="F634">
            <v>7</v>
          </cell>
          <cell r="G634">
            <v>5.25</v>
          </cell>
          <cell r="H634">
            <v>7</v>
          </cell>
          <cell r="I634">
            <v>7</v>
          </cell>
          <cell r="J634">
            <v>7</v>
          </cell>
          <cell r="K634">
            <v>7</v>
          </cell>
          <cell r="L634">
            <v>7</v>
          </cell>
          <cell r="M634">
            <v>7</v>
          </cell>
          <cell r="N634">
            <v>7</v>
          </cell>
        </row>
        <row r="636">
          <cell r="A636" t="str">
            <v>WAD Average international tariff</v>
          </cell>
        </row>
        <row r="637">
          <cell r="B637">
            <v>35765</v>
          </cell>
          <cell r="C637">
            <v>35796</v>
          </cell>
          <cell r="D637">
            <v>35827</v>
          </cell>
          <cell r="E637">
            <v>35855</v>
          </cell>
          <cell r="F637">
            <v>35886</v>
          </cell>
          <cell r="G637">
            <v>35916</v>
          </cell>
          <cell r="H637">
            <v>35947</v>
          </cell>
          <cell r="I637">
            <v>35977</v>
          </cell>
          <cell r="J637">
            <v>36008</v>
          </cell>
          <cell r="K637">
            <v>36039</v>
          </cell>
          <cell r="L637">
            <v>36069</v>
          </cell>
          <cell r="M637">
            <v>36100</v>
          </cell>
          <cell r="N637">
            <v>36130</v>
          </cell>
          <cell r="O637" t="str">
            <v>Total 98</v>
          </cell>
          <cell r="P637" t="str">
            <v>Q1-99</v>
          </cell>
          <cell r="Q637" t="str">
            <v>Q2-99</v>
          </cell>
          <cell r="R637" t="str">
            <v>Q3-99</v>
          </cell>
          <cell r="S637" t="str">
            <v>Q4-99</v>
          </cell>
          <cell r="T637" t="str">
            <v>Total 99</v>
          </cell>
          <cell r="U637">
            <v>2000</v>
          </cell>
          <cell r="V637">
            <v>2001</v>
          </cell>
          <cell r="W637">
            <v>2002</v>
          </cell>
        </row>
        <row r="638">
          <cell r="A638" t="str">
            <v>Ark</v>
          </cell>
          <cell r="C638">
            <v>0.52060000000000017</v>
          </cell>
          <cell r="D638">
            <v>0.52060000000000017</v>
          </cell>
          <cell r="E638">
            <v>0.52060000000000017</v>
          </cell>
          <cell r="F638">
            <v>0.52060000000000017</v>
          </cell>
          <cell r="G638">
            <v>0.52060000000000017</v>
          </cell>
          <cell r="H638">
            <v>0.52060000000000017</v>
          </cell>
          <cell r="I638">
            <v>0.52060000000000017</v>
          </cell>
          <cell r="J638">
            <v>0.52060000000000017</v>
          </cell>
          <cell r="K638">
            <v>0.52060000000000017</v>
          </cell>
          <cell r="L638">
            <v>0.52060000000000017</v>
          </cell>
          <cell r="M638">
            <v>0.52060000000000017</v>
          </cell>
          <cell r="N638">
            <v>0.52060000000000017</v>
          </cell>
          <cell r="P638">
            <v>0.52060000000000017</v>
          </cell>
          <cell r="Q638">
            <v>0.52060000000000017</v>
          </cell>
          <cell r="R638">
            <v>0.52060000000000017</v>
          </cell>
          <cell r="S638">
            <v>0.52060000000000017</v>
          </cell>
          <cell r="U638">
            <v>0.49457000000000012</v>
          </cell>
          <cell r="V638">
            <v>0.46984150000000008</v>
          </cell>
          <cell r="W638">
            <v>0.44634942500000008</v>
          </cell>
        </row>
        <row r="639">
          <cell r="A639" t="str">
            <v>Eka</v>
          </cell>
          <cell r="C639">
            <v>0.52060000000000017</v>
          </cell>
          <cell r="D639">
            <v>0.52060000000000017</v>
          </cell>
          <cell r="E639">
            <v>0.52060000000000017</v>
          </cell>
          <cell r="F639">
            <v>0.52060000000000017</v>
          </cell>
          <cell r="G639">
            <v>0.52060000000000017</v>
          </cell>
          <cell r="H639">
            <v>0.52060000000000017</v>
          </cell>
          <cell r="I639">
            <v>0.52060000000000017</v>
          </cell>
          <cell r="J639">
            <v>0.52060000000000017</v>
          </cell>
          <cell r="K639">
            <v>0.52060000000000017</v>
          </cell>
          <cell r="L639">
            <v>0.52060000000000017</v>
          </cell>
          <cell r="M639">
            <v>0.52060000000000017</v>
          </cell>
          <cell r="N639">
            <v>0.52060000000000017</v>
          </cell>
          <cell r="P639">
            <v>0.52060000000000017</v>
          </cell>
          <cell r="Q639">
            <v>0.52060000000000017</v>
          </cell>
          <cell r="R639">
            <v>0.52060000000000017</v>
          </cell>
          <cell r="S639">
            <v>0.52060000000000017</v>
          </cell>
          <cell r="U639">
            <v>0.49457000000000012</v>
          </cell>
          <cell r="V639">
            <v>0.46984150000000008</v>
          </cell>
          <cell r="W639">
            <v>0.44634942500000008</v>
          </cell>
        </row>
        <row r="640">
          <cell r="A640" t="str">
            <v>Irk</v>
          </cell>
          <cell r="C640">
            <v>0.58010000000000017</v>
          </cell>
          <cell r="D640">
            <v>0.58010000000000017</v>
          </cell>
          <cell r="E640">
            <v>0.58010000000000017</v>
          </cell>
          <cell r="F640">
            <v>0.58010000000000017</v>
          </cell>
          <cell r="G640">
            <v>0.58010000000000017</v>
          </cell>
          <cell r="H640">
            <v>0.58010000000000017</v>
          </cell>
          <cell r="I640">
            <v>0.58010000000000017</v>
          </cell>
          <cell r="J640">
            <v>0.58010000000000017</v>
          </cell>
          <cell r="K640">
            <v>0.58010000000000017</v>
          </cell>
          <cell r="L640">
            <v>0.58010000000000017</v>
          </cell>
          <cell r="M640">
            <v>0.58010000000000017</v>
          </cell>
          <cell r="N640">
            <v>0.58010000000000017</v>
          </cell>
          <cell r="P640">
            <v>0.58010000000000017</v>
          </cell>
          <cell r="Q640">
            <v>0.58010000000000017</v>
          </cell>
          <cell r="R640">
            <v>0.58010000000000017</v>
          </cell>
          <cell r="S640">
            <v>0.58010000000000017</v>
          </cell>
          <cell r="U640">
            <v>0.55109500000000011</v>
          </cell>
          <cell r="V640">
            <v>0.52354025000000004</v>
          </cell>
          <cell r="W640">
            <v>0.4973632375</v>
          </cell>
        </row>
        <row r="641">
          <cell r="A641" t="str">
            <v>Kha</v>
          </cell>
          <cell r="C641">
            <v>0.58579999999999999</v>
          </cell>
          <cell r="D641">
            <v>0.58579999999999999</v>
          </cell>
          <cell r="E641">
            <v>0.58579999999999999</v>
          </cell>
          <cell r="F641">
            <v>0.58579999999999999</v>
          </cell>
          <cell r="G641">
            <v>0.58579999999999999</v>
          </cell>
          <cell r="H641">
            <v>0.58579999999999999</v>
          </cell>
          <cell r="I641">
            <v>0.58579999999999999</v>
          </cell>
          <cell r="J641">
            <v>0.58579999999999999</v>
          </cell>
          <cell r="K641">
            <v>0.58579999999999999</v>
          </cell>
          <cell r="L641">
            <v>0.58579999999999999</v>
          </cell>
          <cell r="M641">
            <v>0.58579999999999999</v>
          </cell>
          <cell r="N641">
            <v>0.58579999999999999</v>
          </cell>
          <cell r="P641">
            <v>0.58579999999999999</v>
          </cell>
          <cell r="Q641">
            <v>0.58579999999999999</v>
          </cell>
          <cell r="R641">
            <v>0.58579999999999999</v>
          </cell>
          <cell r="S641">
            <v>0.58579999999999999</v>
          </cell>
          <cell r="U641">
            <v>0.55650999999999995</v>
          </cell>
          <cell r="V641">
            <v>0.52868449999999989</v>
          </cell>
          <cell r="W641">
            <v>0.50225027499999986</v>
          </cell>
        </row>
        <row r="642">
          <cell r="A642" t="str">
            <v>Kra</v>
          </cell>
          <cell r="C642">
            <v>0.52060000000000017</v>
          </cell>
          <cell r="D642">
            <v>0.52060000000000017</v>
          </cell>
          <cell r="E642">
            <v>0.52060000000000017</v>
          </cell>
          <cell r="F642">
            <v>0.52060000000000017</v>
          </cell>
          <cell r="G642">
            <v>0.52060000000000017</v>
          </cell>
          <cell r="H642">
            <v>0.52060000000000017</v>
          </cell>
          <cell r="I642">
            <v>0.52060000000000017</v>
          </cell>
          <cell r="J642">
            <v>0.52060000000000017</v>
          </cell>
          <cell r="K642">
            <v>0.52060000000000017</v>
          </cell>
          <cell r="L642">
            <v>0.52060000000000017</v>
          </cell>
          <cell r="M642">
            <v>0.52060000000000017</v>
          </cell>
          <cell r="N642">
            <v>0.52060000000000017</v>
          </cell>
          <cell r="P642">
            <v>0.52060000000000017</v>
          </cell>
          <cell r="Q642">
            <v>0.52060000000000017</v>
          </cell>
          <cell r="R642">
            <v>0.52060000000000017</v>
          </cell>
          <cell r="S642">
            <v>0.52060000000000017</v>
          </cell>
          <cell r="U642">
            <v>0.49457000000000012</v>
          </cell>
          <cell r="V642">
            <v>0.46984150000000008</v>
          </cell>
          <cell r="W642">
            <v>0.44634942500000008</v>
          </cell>
        </row>
        <row r="643">
          <cell r="A643" t="str">
            <v>Niz</v>
          </cell>
          <cell r="C643">
            <v>0.52060000000000017</v>
          </cell>
          <cell r="D643">
            <v>0.52060000000000017</v>
          </cell>
          <cell r="E643">
            <v>0.52060000000000017</v>
          </cell>
          <cell r="F643">
            <v>0.52060000000000017</v>
          </cell>
          <cell r="G643">
            <v>0.52060000000000017</v>
          </cell>
          <cell r="H643">
            <v>0.52060000000000017</v>
          </cell>
          <cell r="I643">
            <v>0.52060000000000017</v>
          </cell>
          <cell r="J643">
            <v>0.52060000000000017</v>
          </cell>
          <cell r="K643">
            <v>0.52060000000000017</v>
          </cell>
          <cell r="L643">
            <v>0.52060000000000017</v>
          </cell>
          <cell r="M643">
            <v>0.52060000000000017</v>
          </cell>
          <cell r="N643">
            <v>0.52060000000000017</v>
          </cell>
          <cell r="P643">
            <v>0.52060000000000017</v>
          </cell>
          <cell r="Q643">
            <v>0.52060000000000017</v>
          </cell>
          <cell r="R643">
            <v>0.52060000000000017</v>
          </cell>
          <cell r="S643">
            <v>0.52060000000000017</v>
          </cell>
          <cell r="U643">
            <v>0.49457000000000012</v>
          </cell>
          <cell r="V643">
            <v>0.46984150000000008</v>
          </cell>
          <cell r="W643">
            <v>0.44634942500000008</v>
          </cell>
        </row>
        <row r="644">
          <cell r="A644" t="str">
            <v>Nov</v>
          </cell>
          <cell r="C644">
            <v>0.54</v>
          </cell>
          <cell r="D644">
            <v>0.54</v>
          </cell>
          <cell r="E644">
            <v>0.54</v>
          </cell>
          <cell r="F644">
            <v>0.54</v>
          </cell>
          <cell r="G644">
            <v>0.54</v>
          </cell>
          <cell r="H644">
            <v>0.54</v>
          </cell>
          <cell r="I644">
            <v>0.54</v>
          </cell>
          <cell r="J644">
            <v>0.54</v>
          </cell>
          <cell r="K644">
            <v>0.54</v>
          </cell>
          <cell r="L644">
            <v>0.54</v>
          </cell>
          <cell r="M644">
            <v>0.54</v>
          </cell>
          <cell r="N644">
            <v>0.54</v>
          </cell>
          <cell r="P644">
            <v>0.54</v>
          </cell>
          <cell r="Q644">
            <v>0.54</v>
          </cell>
          <cell r="R644">
            <v>0.54</v>
          </cell>
          <cell r="S644">
            <v>0.54</v>
          </cell>
          <cell r="U644">
            <v>0.51300000000000001</v>
          </cell>
          <cell r="V644">
            <v>0.48735000000000001</v>
          </cell>
          <cell r="W644">
            <v>0.46298249999999996</v>
          </cell>
        </row>
        <row r="645">
          <cell r="A645" t="str">
            <v>Syk</v>
          </cell>
          <cell r="C645">
            <v>0.7846373000000002</v>
          </cell>
          <cell r="D645">
            <v>0.7846373000000002</v>
          </cell>
          <cell r="E645">
            <v>0.7846373000000002</v>
          </cell>
          <cell r="F645">
            <v>0.7846373000000002</v>
          </cell>
          <cell r="G645">
            <v>0.7846373000000002</v>
          </cell>
          <cell r="H645">
            <v>0.7846373000000002</v>
          </cell>
          <cell r="I645">
            <v>0.7846373000000002</v>
          </cell>
          <cell r="J645">
            <v>0.7846373000000002</v>
          </cell>
          <cell r="K645">
            <v>0.7846373000000002</v>
          </cell>
          <cell r="L645">
            <v>0.7846373000000002</v>
          </cell>
          <cell r="M645">
            <v>0.7846373000000002</v>
          </cell>
          <cell r="N645">
            <v>0.7846373000000002</v>
          </cell>
          <cell r="P645">
            <v>0.7846373000000002</v>
          </cell>
          <cell r="Q645">
            <v>0.7846373000000002</v>
          </cell>
          <cell r="R645">
            <v>0.7846373000000002</v>
          </cell>
          <cell r="S645">
            <v>0.7846373000000002</v>
          </cell>
          <cell r="U645">
            <v>0.74540543500000012</v>
          </cell>
          <cell r="V645">
            <v>0.70813516325000003</v>
          </cell>
          <cell r="W645">
            <v>0.67272840508749998</v>
          </cell>
        </row>
        <row r="646">
          <cell r="A646" t="str">
            <v>Tyu</v>
          </cell>
          <cell r="C646">
            <v>0.52060000000000017</v>
          </cell>
          <cell r="D646">
            <v>0.52060000000000017</v>
          </cell>
          <cell r="E646">
            <v>0.52060000000000017</v>
          </cell>
          <cell r="F646">
            <v>0.52060000000000017</v>
          </cell>
          <cell r="G646">
            <v>0.52060000000000017</v>
          </cell>
          <cell r="H646">
            <v>0.52060000000000017</v>
          </cell>
          <cell r="I646">
            <v>0.52060000000000017</v>
          </cell>
          <cell r="J646">
            <v>0.52060000000000017</v>
          </cell>
          <cell r="K646">
            <v>0.52060000000000017</v>
          </cell>
          <cell r="L646">
            <v>0.52060000000000017</v>
          </cell>
          <cell r="M646">
            <v>0.52060000000000017</v>
          </cell>
          <cell r="N646">
            <v>0.52060000000000017</v>
          </cell>
          <cell r="P646">
            <v>0.52060000000000017</v>
          </cell>
          <cell r="Q646">
            <v>0.52060000000000017</v>
          </cell>
          <cell r="R646">
            <v>0.52060000000000017</v>
          </cell>
          <cell r="S646">
            <v>0.52060000000000017</v>
          </cell>
          <cell r="U646">
            <v>0.49457000000000012</v>
          </cell>
          <cell r="V646">
            <v>0.46984150000000008</v>
          </cell>
          <cell r="W646">
            <v>0.44634942500000008</v>
          </cell>
        </row>
        <row r="647">
          <cell r="A647" t="str">
            <v>Ufa</v>
          </cell>
          <cell r="C647">
            <v>0.52060000000000017</v>
          </cell>
          <cell r="D647">
            <v>0.52060000000000017</v>
          </cell>
          <cell r="E647">
            <v>0.52060000000000017</v>
          </cell>
          <cell r="F647">
            <v>0.52060000000000017</v>
          </cell>
          <cell r="G647">
            <v>0.52060000000000017</v>
          </cell>
          <cell r="H647">
            <v>0.52060000000000017</v>
          </cell>
          <cell r="I647">
            <v>0.52060000000000017</v>
          </cell>
          <cell r="J647">
            <v>0.52060000000000017</v>
          </cell>
          <cell r="K647">
            <v>0.52060000000000017</v>
          </cell>
          <cell r="L647">
            <v>0.52060000000000017</v>
          </cell>
          <cell r="M647">
            <v>0.52060000000000017</v>
          </cell>
          <cell r="N647">
            <v>0.52060000000000017</v>
          </cell>
          <cell r="P647">
            <v>0.52060000000000017</v>
          </cell>
          <cell r="Q647">
            <v>0.52060000000000017</v>
          </cell>
          <cell r="R647">
            <v>0.52060000000000017</v>
          </cell>
          <cell r="S647">
            <v>0.52060000000000017</v>
          </cell>
          <cell r="U647">
            <v>0.49457000000000012</v>
          </cell>
          <cell r="V647">
            <v>0.46984150000000008</v>
          </cell>
          <cell r="W647">
            <v>0.44634942500000008</v>
          </cell>
        </row>
        <row r="648">
          <cell r="A648" t="str">
            <v>Vla</v>
          </cell>
          <cell r="C648">
            <v>0.53</v>
          </cell>
          <cell r="D648">
            <v>0.53</v>
          </cell>
          <cell r="E648">
            <v>0.53</v>
          </cell>
          <cell r="F648">
            <v>0.53</v>
          </cell>
          <cell r="G648">
            <v>0.53</v>
          </cell>
          <cell r="H648">
            <v>0.53</v>
          </cell>
          <cell r="I648">
            <v>0.53</v>
          </cell>
          <cell r="J648">
            <v>0.53</v>
          </cell>
          <cell r="K648">
            <v>0.53</v>
          </cell>
          <cell r="L648">
            <v>0.53</v>
          </cell>
          <cell r="M648">
            <v>0.53</v>
          </cell>
          <cell r="N648">
            <v>0.53</v>
          </cell>
          <cell r="P648">
            <v>0.53</v>
          </cell>
          <cell r="Q648">
            <v>0.53</v>
          </cell>
          <cell r="R648">
            <v>0.53</v>
          </cell>
          <cell r="S648">
            <v>0.53</v>
          </cell>
          <cell r="U648">
            <v>0.50349999999999995</v>
          </cell>
          <cell r="V648">
            <v>0.47832499999999994</v>
          </cell>
          <cell r="W648">
            <v>0.45440874999999992</v>
          </cell>
        </row>
        <row r="649">
          <cell r="A649" t="str">
            <v>Vol</v>
          </cell>
          <cell r="C649">
            <v>0.52060000000000017</v>
          </cell>
          <cell r="D649">
            <v>0.52060000000000017</v>
          </cell>
          <cell r="E649">
            <v>0.52060000000000017</v>
          </cell>
          <cell r="F649">
            <v>0.52060000000000017</v>
          </cell>
          <cell r="G649">
            <v>0.52060000000000017</v>
          </cell>
          <cell r="H649">
            <v>0.52060000000000017</v>
          </cell>
          <cell r="I649">
            <v>0.52060000000000017</v>
          </cell>
          <cell r="J649">
            <v>0.52060000000000017</v>
          </cell>
          <cell r="K649">
            <v>0.52060000000000017</v>
          </cell>
          <cell r="L649">
            <v>0.52060000000000017</v>
          </cell>
          <cell r="M649">
            <v>0.52060000000000017</v>
          </cell>
          <cell r="N649">
            <v>0.52060000000000017</v>
          </cell>
          <cell r="P649">
            <v>0.52060000000000017</v>
          </cell>
          <cell r="Q649">
            <v>0.52060000000000017</v>
          </cell>
          <cell r="R649">
            <v>0.52060000000000017</v>
          </cell>
          <cell r="S649">
            <v>0.52060000000000017</v>
          </cell>
          <cell r="U649">
            <v>0.49457000000000012</v>
          </cell>
          <cell r="V649">
            <v>0.46984150000000008</v>
          </cell>
          <cell r="W649">
            <v>0.44634942500000008</v>
          </cell>
        </row>
        <row r="650">
          <cell r="A650" t="str">
            <v>Vor</v>
          </cell>
          <cell r="C650">
            <v>0.52060000000000017</v>
          </cell>
          <cell r="D650">
            <v>0.52060000000000017</v>
          </cell>
          <cell r="E650">
            <v>0.52060000000000017</v>
          </cell>
          <cell r="F650">
            <v>0.52060000000000017</v>
          </cell>
          <cell r="G650">
            <v>0.52060000000000017</v>
          </cell>
          <cell r="H650">
            <v>0.52060000000000017</v>
          </cell>
          <cell r="I650">
            <v>0.52060000000000017</v>
          </cell>
          <cell r="J650">
            <v>0.52060000000000017</v>
          </cell>
          <cell r="K650">
            <v>0.52060000000000017</v>
          </cell>
          <cell r="L650">
            <v>0.52060000000000017</v>
          </cell>
          <cell r="M650">
            <v>0.52060000000000017</v>
          </cell>
          <cell r="N650">
            <v>0.52060000000000017</v>
          </cell>
          <cell r="P650">
            <v>0.52060000000000017</v>
          </cell>
          <cell r="Q650">
            <v>0.52060000000000017</v>
          </cell>
          <cell r="R650">
            <v>0.52060000000000017</v>
          </cell>
          <cell r="S650">
            <v>0.52060000000000017</v>
          </cell>
          <cell r="U650">
            <v>0.49457000000000012</v>
          </cell>
          <cell r="V650">
            <v>0.46984150000000008</v>
          </cell>
          <cell r="W650">
            <v>0.44634942500000008</v>
          </cell>
        </row>
        <row r="651">
          <cell r="A651" t="str">
            <v>97#1</v>
          </cell>
          <cell r="C651">
            <v>0.52060000000000017</v>
          </cell>
          <cell r="D651">
            <v>0.52060000000000017</v>
          </cell>
          <cell r="E651">
            <v>0.52060000000000017</v>
          </cell>
          <cell r="F651">
            <v>0.52060000000000017</v>
          </cell>
          <cell r="G651">
            <v>0.52060000000000017</v>
          </cell>
          <cell r="H651">
            <v>0.52060000000000017</v>
          </cell>
          <cell r="I651">
            <v>0.52060000000000017</v>
          </cell>
          <cell r="J651">
            <v>0.52060000000000017</v>
          </cell>
          <cell r="K651">
            <v>0.52060000000000017</v>
          </cell>
          <cell r="L651">
            <v>0.52060000000000017</v>
          </cell>
          <cell r="M651">
            <v>0.52060000000000017</v>
          </cell>
          <cell r="N651">
            <v>0.52060000000000017</v>
          </cell>
          <cell r="P651">
            <v>0.52060000000000017</v>
          </cell>
          <cell r="Q651">
            <v>0.52060000000000017</v>
          </cell>
          <cell r="R651">
            <v>0.52060000000000017</v>
          </cell>
          <cell r="S651">
            <v>0.52060000000000017</v>
          </cell>
          <cell r="U651">
            <v>0.49457000000000012</v>
          </cell>
          <cell r="V651">
            <v>0.46984150000000008</v>
          </cell>
          <cell r="W651">
            <v>0.44634942500000008</v>
          </cell>
        </row>
        <row r="652">
          <cell r="A652" t="str">
            <v>97#2</v>
          </cell>
          <cell r="C652">
            <v>0.52060000000000017</v>
          </cell>
          <cell r="D652">
            <v>0.52060000000000017</v>
          </cell>
          <cell r="E652">
            <v>0.52060000000000017</v>
          </cell>
          <cell r="F652">
            <v>0.52060000000000017</v>
          </cell>
          <cell r="G652">
            <v>0.52060000000000017</v>
          </cell>
          <cell r="H652">
            <v>0.52060000000000017</v>
          </cell>
          <cell r="I652">
            <v>0.52060000000000017</v>
          </cell>
          <cell r="J652">
            <v>0.52060000000000017</v>
          </cell>
          <cell r="K652">
            <v>0.52060000000000017</v>
          </cell>
          <cell r="L652">
            <v>0.52060000000000017</v>
          </cell>
          <cell r="M652">
            <v>0.52060000000000017</v>
          </cell>
          <cell r="N652">
            <v>0.52060000000000017</v>
          </cell>
          <cell r="P652">
            <v>0.52060000000000017</v>
          </cell>
          <cell r="Q652">
            <v>0.52060000000000017</v>
          </cell>
          <cell r="R652">
            <v>0.52060000000000017</v>
          </cell>
          <cell r="S652">
            <v>0.52060000000000017</v>
          </cell>
          <cell r="U652">
            <v>0.49457000000000012</v>
          </cell>
          <cell r="V652">
            <v>0.46984150000000008</v>
          </cell>
          <cell r="W652">
            <v>0.44634942500000008</v>
          </cell>
        </row>
        <row r="653">
          <cell r="A653" t="str">
            <v>98#1</v>
          </cell>
          <cell r="C653">
            <v>0.52060000000000017</v>
          </cell>
          <cell r="D653">
            <v>0.52060000000000017</v>
          </cell>
          <cell r="E653">
            <v>0.52060000000000017</v>
          </cell>
          <cell r="F653">
            <v>0.52060000000000017</v>
          </cell>
          <cell r="G653">
            <v>0.52060000000000017</v>
          </cell>
          <cell r="H653">
            <v>0.52060000000000017</v>
          </cell>
          <cell r="I653">
            <v>0.52060000000000017</v>
          </cell>
          <cell r="J653">
            <v>0.52060000000000017</v>
          </cell>
          <cell r="K653">
            <v>0.52060000000000017</v>
          </cell>
          <cell r="L653">
            <v>0.52060000000000017</v>
          </cell>
          <cell r="M653">
            <v>0.52060000000000017</v>
          </cell>
          <cell r="N653">
            <v>0.52060000000000017</v>
          </cell>
          <cell r="P653">
            <v>0.52060000000000017</v>
          </cell>
          <cell r="Q653">
            <v>0.52060000000000017</v>
          </cell>
          <cell r="R653">
            <v>0.52060000000000017</v>
          </cell>
          <cell r="S653">
            <v>0.52060000000000017</v>
          </cell>
          <cell r="U653">
            <v>0.49457000000000012</v>
          </cell>
          <cell r="V653">
            <v>0.46984150000000008</v>
          </cell>
          <cell r="W653">
            <v>0.44634942500000008</v>
          </cell>
        </row>
        <row r="654">
          <cell r="A654" t="str">
            <v>98#2</v>
          </cell>
          <cell r="C654">
            <v>0.52060000000000017</v>
          </cell>
          <cell r="D654">
            <v>0.52060000000000017</v>
          </cell>
          <cell r="E654">
            <v>0.52060000000000017</v>
          </cell>
          <cell r="F654">
            <v>0.52060000000000017</v>
          </cell>
          <cell r="G654">
            <v>0.52060000000000017</v>
          </cell>
          <cell r="H654">
            <v>0.52060000000000017</v>
          </cell>
          <cell r="I654">
            <v>0.52060000000000017</v>
          </cell>
          <cell r="J654">
            <v>0.52060000000000017</v>
          </cell>
          <cell r="K654">
            <v>0.52060000000000017</v>
          </cell>
          <cell r="L654">
            <v>0.52060000000000017</v>
          </cell>
          <cell r="M654">
            <v>0.52060000000000017</v>
          </cell>
          <cell r="N654">
            <v>0.52060000000000017</v>
          </cell>
          <cell r="P654">
            <v>0.52060000000000017</v>
          </cell>
          <cell r="Q654">
            <v>0.52060000000000017</v>
          </cell>
          <cell r="R654">
            <v>0.52060000000000017</v>
          </cell>
          <cell r="S654">
            <v>0.52060000000000017</v>
          </cell>
          <cell r="U654">
            <v>0.49457000000000012</v>
          </cell>
          <cell r="V654">
            <v>0.46984150000000008</v>
          </cell>
          <cell r="W654">
            <v>0.44634942500000008</v>
          </cell>
        </row>
        <row r="655">
          <cell r="A655" t="str">
            <v>Mos</v>
          </cell>
        </row>
        <row r="656">
          <cell r="A656" t="str">
            <v>Con</v>
          </cell>
          <cell r="C656">
            <v>2.4</v>
          </cell>
          <cell r="D656">
            <v>2.4</v>
          </cell>
          <cell r="E656">
            <v>2.4</v>
          </cell>
          <cell r="F656">
            <v>2.4</v>
          </cell>
          <cell r="G656">
            <v>2.4</v>
          </cell>
          <cell r="H656">
            <v>2.4</v>
          </cell>
          <cell r="I656">
            <v>2.4</v>
          </cell>
          <cell r="J656">
            <v>2.4</v>
          </cell>
          <cell r="K656">
            <v>2.4</v>
          </cell>
          <cell r="L656">
            <v>2.4</v>
          </cell>
          <cell r="M656">
            <v>2.4</v>
          </cell>
          <cell r="N656">
            <v>2.4</v>
          </cell>
          <cell r="P656">
            <v>2.16</v>
          </cell>
          <cell r="Q656">
            <v>2.4951923076923075</v>
          </cell>
          <cell r="R656">
            <v>2.4951923076923075</v>
          </cell>
          <cell r="S656">
            <v>2.4951923076923075</v>
          </cell>
          <cell r="U656">
            <v>2.3704326923076922</v>
          </cell>
          <cell r="V656">
            <v>2.2519110576923076</v>
          </cell>
          <cell r="W656">
            <v>2.1393155048076919</v>
          </cell>
        </row>
        <row r="658">
          <cell r="A658" t="str">
            <v xml:space="preserve">DPP Number of new lines </v>
          </cell>
        </row>
        <row r="659">
          <cell r="B659">
            <v>35765</v>
          </cell>
          <cell r="C659">
            <v>35796</v>
          </cell>
          <cell r="D659">
            <v>35827</v>
          </cell>
          <cell r="E659">
            <v>35855</v>
          </cell>
          <cell r="F659">
            <v>35886</v>
          </cell>
          <cell r="G659">
            <v>35916</v>
          </cell>
          <cell r="H659">
            <v>35947</v>
          </cell>
          <cell r="I659">
            <v>35977</v>
          </cell>
          <cell r="J659">
            <v>36008</v>
          </cell>
          <cell r="K659">
            <v>36039</v>
          </cell>
          <cell r="L659">
            <v>36069</v>
          </cell>
          <cell r="M659">
            <v>36100</v>
          </cell>
          <cell r="N659">
            <v>36130</v>
          </cell>
          <cell r="O659" t="str">
            <v>Total 98</v>
          </cell>
          <cell r="P659" t="str">
            <v>Q1-98</v>
          </cell>
          <cell r="Q659" t="str">
            <v>Q2-98</v>
          </cell>
          <cell r="R659" t="str">
            <v>Q3-98</v>
          </cell>
          <cell r="S659" t="str">
            <v>Q4-98</v>
          </cell>
          <cell r="T659" t="str">
            <v>Total 98</v>
          </cell>
          <cell r="U659">
            <v>1999</v>
          </cell>
          <cell r="V659">
            <v>2000</v>
          </cell>
          <cell r="W659">
            <v>2001</v>
          </cell>
        </row>
        <row r="660">
          <cell r="A660" t="str">
            <v>Ark</v>
          </cell>
          <cell r="B660">
            <v>1</v>
          </cell>
          <cell r="C660">
            <v>0</v>
          </cell>
          <cell r="D660">
            <v>0</v>
          </cell>
          <cell r="E660">
            <v>0</v>
          </cell>
          <cell r="F660">
            <v>1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1</v>
          </cell>
          <cell r="M660">
            <v>0</v>
          </cell>
          <cell r="N660">
            <v>0</v>
          </cell>
          <cell r="O660">
            <v>2</v>
          </cell>
          <cell r="P660">
            <v>1</v>
          </cell>
          <cell r="S660">
            <v>1</v>
          </cell>
          <cell r="T660">
            <v>2</v>
          </cell>
          <cell r="U660">
            <v>2.02</v>
          </cell>
          <cell r="V660">
            <v>2.0402</v>
          </cell>
          <cell r="W660">
            <v>2.0606019999999998</v>
          </cell>
        </row>
        <row r="661">
          <cell r="A661" t="str">
            <v>Eka</v>
          </cell>
          <cell r="B661">
            <v>3</v>
          </cell>
          <cell r="C661">
            <v>1</v>
          </cell>
          <cell r="D661">
            <v>0</v>
          </cell>
          <cell r="E661">
            <v>1</v>
          </cell>
          <cell r="F661">
            <v>0</v>
          </cell>
          <cell r="G661">
            <v>0</v>
          </cell>
          <cell r="H661">
            <v>1</v>
          </cell>
          <cell r="I661">
            <v>0</v>
          </cell>
          <cell r="J661">
            <v>1</v>
          </cell>
          <cell r="K661">
            <v>0</v>
          </cell>
          <cell r="L661">
            <v>1</v>
          </cell>
          <cell r="M661">
            <v>0</v>
          </cell>
          <cell r="N661">
            <v>0</v>
          </cell>
          <cell r="O661">
            <v>5</v>
          </cell>
          <cell r="P661">
            <v>1</v>
          </cell>
          <cell r="Q661">
            <v>2</v>
          </cell>
          <cell r="R661">
            <v>1</v>
          </cell>
          <cell r="S661">
            <v>2</v>
          </cell>
          <cell r="T661">
            <v>6</v>
          </cell>
          <cell r="U661">
            <v>6.0600000000000005</v>
          </cell>
          <cell r="V661">
            <v>6.1206000000000005</v>
          </cell>
          <cell r="W661">
            <v>6.1818060000000008</v>
          </cell>
        </row>
        <row r="662">
          <cell r="A662" t="str">
            <v>Irk</v>
          </cell>
          <cell r="B662">
            <v>3</v>
          </cell>
          <cell r="C662">
            <v>0</v>
          </cell>
          <cell r="D662">
            <v>1</v>
          </cell>
          <cell r="E662">
            <v>1</v>
          </cell>
          <cell r="F662">
            <v>0</v>
          </cell>
          <cell r="G662">
            <v>0</v>
          </cell>
          <cell r="H662">
            <v>1</v>
          </cell>
          <cell r="I662">
            <v>0</v>
          </cell>
          <cell r="J662">
            <v>1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4</v>
          </cell>
          <cell r="P662">
            <v>1</v>
          </cell>
          <cell r="Q662">
            <v>1</v>
          </cell>
          <cell r="R662">
            <v>1</v>
          </cell>
          <cell r="S662">
            <v>1</v>
          </cell>
          <cell r="T662">
            <v>4</v>
          </cell>
          <cell r="U662">
            <v>4.04</v>
          </cell>
          <cell r="V662">
            <v>4.0804</v>
          </cell>
          <cell r="W662">
            <v>4.1212039999999996</v>
          </cell>
        </row>
        <row r="663">
          <cell r="A663" t="str">
            <v>Kha</v>
          </cell>
          <cell r="B663">
            <v>4</v>
          </cell>
          <cell r="C663">
            <v>0</v>
          </cell>
          <cell r="D663">
            <v>1</v>
          </cell>
          <cell r="E663">
            <v>0</v>
          </cell>
          <cell r="F663">
            <v>0</v>
          </cell>
          <cell r="G663">
            <v>1</v>
          </cell>
          <cell r="H663">
            <v>0</v>
          </cell>
          <cell r="I663">
            <v>1</v>
          </cell>
          <cell r="J663">
            <v>0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4</v>
          </cell>
          <cell r="P663">
            <v>1</v>
          </cell>
          <cell r="Q663">
            <v>1</v>
          </cell>
          <cell r="R663">
            <v>1</v>
          </cell>
          <cell r="S663">
            <v>1</v>
          </cell>
          <cell r="T663">
            <v>4</v>
          </cell>
          <cell r="U663">
            <v>4.04</v>
          </cell>
          <cell r="V663">
            <v>4.0804</v>
          </cell>
          <cell r="W663">
            <v>4.1212039999999996</v>
          </cell>
        </row>
        <row r="664">
          <cell r="A664" t="str">
            <v>Kra</v>
          </cell>
          <cell r="B664">
            <v>3</v>
          </cell>
          <cell r="C664">
            <v>1</v>
          </cell>
          <cell r="D664">
            <v>0</v>
          </cell>
          <cell r="E664">
            <v>0</v>
          </cell>
          <cell r="F664">
            <v>1</v>
          </cell>
          <cell r="G664">
            <v>0</v>
          </cell>
          <cell r="H664">
            <v>0</v>
          </cell>
          <cell r="I664">
            <v>1</v>
          </cell>
          <cell r="J664">
            <v>0</v>
          </cell>
          <cell r="K664">
            <v>0</v>
          </cell>
          <cell r="L664">
            <v>0</v>
          </cell>
          <cell r="M664">
            <v>1</v>
          </cell>
          <cell r="N664">
            <v>0</v>
          </cell>
          <cell r="O664">
            <v>4</v>
          </cell>
          <cell r="P664">
            <v>0</v>
          </cell>
          <cell r="Q664">
            <v>1</v>
          </cell>
          <cell r="R664">
            <v>1</v>
          </cell>
          <cell r="S664">
            <v>1</v>
          </cell>
          <cell r="T664">
            <v>3</v>
          </cell>
          <cell r="U664">
            <v>3.0300000000000002</v>
          </cell>
          <cell r="V664">
            <v>3.0603000000000002</v>
          </cell>
          <cell r="W664">
            <v>3.0909030000000004</v>
          </cell>
        </row>
        <row r="665">
          <cell r="A665" t="str">
            <v>Niz</v>
          </cell>
          <cell r="B665">
            <v>4</v>
          </cell>
          <cell r="C665">
            <v>0</v>
          </cell>
          <cell r="D665">
            <v>1</v>
          </cell>
          <cell r="E665">
            <v>0</v>
          </cell>
          <cell r="F665">
            <v>1</v>
          </cell>
          <cell r="G665">
            <v>0</v>
          </cell>
          <cell r="H665">
            <v>0</v>
          </cell>
          <cell r="I665">
            <v>1</v>
          </cell>
          <cell r="J665">
            <v>0</v>
          </cell>
          <cell r="K665">
            <v>1</v>
          </cell>
          <cell r="L665">
            <v>0</v>
          </cell>
          <cell r="M665">
            <v>0</v>
          </cell>
          <cell r="N665">
            <v>1</v>
          </cell>
          <cell r="O665">
            <v>5</v>
          </cell>
          <cell r="Q665">
            <v>2</v>
          </cell>
          <cell r="T665">
            <v>2</v>
          </cell>
          <cell r="U665">
            <v>2.02</v>
          </cell>
          <cell r="V665">
            <v>2.0402</v>
          </cell>
          <cell r="W665">
            <v>2.0606019999999998</v>
          </cell>
        </row>
        <row r="666">
          <cell r="A666" t="str">
            <v>Nov</v>
          </cell>
          <cell r="B666">
            <v>5</v>
          </cell>
          <cell r="C666">
            <v>1</v>
          </cell>
          <cell r="D666">
            <v>0</v>
          </cell>
          <cell r="E666">
            <v>1</v>
          </cell>
          <cell r="F666">
            <v>0</v>
          </cell>
          <cell r="G666">
            <v>0</v>
          </cell>
          <cell r="H666">
            <v>1</v>
          </cell>
          <cell r="I666">
            <v>0</v>
          </cell>
          <cell r="J666">
            <v>0</v>
          </cell>
          <cell r="K666">
            <v>1</v>
          </cell>
          <cell r="L666">
            <v>0</v>
          </cell>
          <cell r="M666">
            <v>1</v>
          </cell>
          <cell r="N666">
            <v>0</v>
          </cell>
          <cell r="O666">
            <v>5</v>
          </cell>
          <cell r="P666">
            <v>2</v>
          </cell>
          <cell r="Q666">
            <v>1</v>
          </cell>
          <cell r="R666">
            <v>1</v>
          </cell>
          <cell r="S666">
            <v>1</v>
          </cell>
          <cell r="T666">
            <v>5</v>
          </cell>
          <cell r="U666">
            <v>5.05</v>
          </cell>
          <cell r="V666">
            <v>5.1005000000000003</v>
          </cell>
          <cell r="W666">
            <v>5.1515050000000002</v>
          </cell>
        </row>
        <row r="667">
          <cell r="A667" t="str">
            <v>Syk</v>
          </cell>
          <cell r="B667">
            <v>1</v>
          </cell>
          <cell r="C667">
            <v>0</v>
          </cell>
          <cell r="D667">
            <v>0</v>
          </cell>
          <cell r="E667">
            <v>0</v>
          </cell>
          <cell r="F667">
            <v>1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1</v>
          </cell>
          <cell r="O667">
            <v>2</v>
          </cell>
          <cell r="Q667">
            <v>1</v>
          </cell>
          <cell r="R667">
            <v>1</v>
          </cell>
          <cell r="S667">
            <v>1</v>
          </cell>
          <cell r="T667">
            <v>3</v>
          </cell>
          <cell r="U667">
            <v>3.0300000000000002</v>
          </cell>
          <cell r="V667">
            <v>3.0603000000000002</v>
          </cell>
          <cell r="W667">
            <v>3.0909030000000004</v>
          </cell>
        </row>
        <row r="668">
          <cell r="A668" t="str">
            <v>Tyu</v>
          </cell>
          <cell r="B668">
            <v>2</v>
          </cell>
          <cell r="C668">
            <v>0</v>
          </cell>
          <cell r="D668">
            <v>0</v>
          </cell>
          <cell r="E668">
            <v>1</v>
          </cell>
          <cell r="F668">
            <v>0</v>
          </cell>
          <cell r="G668">
            <v>0</v>
          </cell>
          <cell r="H668">
            <v>0</v>
          </cell>
          <cell r="I668">
            <v>1</v>
          </cell>
          <cell r="J668">
            <v>0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O668">
            <v>3</v>
          </cell>
          <cell r="Q668">
            <v>1</v>
          </cell>
          <cell r="R668">
            <v>1</v>
          </cell>
          <cell r="S668">
            <v>1</v>
          </cell>
          <cell r="T668">
            <v>3</v>
          </cell>
          <cell r="U668">
            <v>3.0300000000000002</v>
          </cell>
          <cell r="V668">
            <v>3.0603000000000002</v>
          </cell>
          <cell r="W668">
            <v>3.0909030000000004</v>
          </cell>
        </row>
        <row r="669">
          <cell r="A669" t="str">
            <v>Ufa</v>
          </cell>
          <cell r="B669">
            <v>3</v>
          </cell>
          <cell r="C669">
            <v>0</v>
          </cell>
          <cell r="D669">
            <v>0</v>
          </cell>
          <cell r="E669">
            <v>0</v>
          </cell>
          <cell r="F669">
            <v>1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O669">
            <v>2</v>
          </cell>
          <cell r="P669">
            <v>1</v>
          </cell>
          <cell r="R669">
            <v>1</v>
          </cell>
          <cell r="S669">
            <v>1</v>
          </cell>
          <cell r="T669">
            <v>3</v>
          </cell>
          <cell r="U669">
            <v>3.0300000000000002</v>
          </cell>
          <cell r="V669">
            <v>3.0603000000000002</v>
          </cell>
          <cell r="W669">
            <v>3.0909030000000004</v>
          </cell>
        </row>
        <row r="670">
          <cell r="A670" t="str">
            <v>Vla</v>
          </cell>
          <cell r="B670">
            <v>9</v>
          </cell>
          <cell r="C670">
            <v>1</v>
          </cell>
          <cell r="D670">
            <v>0</v>
          </cell>
          <cell r="E670">
            <v>1</v>
          </cell>
          <cell r="F670">
            <v>0</v>
          </cell>
          <cell r="G670">
            <v>0</v>
          </cell>
          <cell r="H670">
            <v>1</v>
          </cell>
          <cell r="I670">
            <v>0</v>
          </cell>
          <cell r="J670">
            <v>0</v>
          </cell>
          <cell r="K670">
            <v>0</v>
          </cell>
          <cell r="L670">
            <v>1</v>
          </cell>
          <cell r="M670">
            <v>0</v>
          </cell>
          <cell r="N670">
            <v>0</v>
          </cell>
          <cell r="O670">
            <v>4</v>
          </cell>
          <cell r="P670">
            <v>1</v>
          </cell>
          <cell r="Q670">
            <v>1</v>
          </cell>
          <cell r="R670">
            <v>2</v>
          </cell>
          <cell r="S670">
            <v>1</v>
          </cell>
          <cell r="T670">
            <v>5</v>
          </cell>
          <cell r="U670">
            <v>5.05</v>
          </cell>
          <cell r="V670">
            <v>5.1005000000000003</v>
          </cell>
          <cell r="W670">
            <v>5.1515050000000002</v>
          </cell>
        </row>
        <row r="671">
          <cell r="A671" t="str">
            <v>Vol</v>
          </cell>
          <cell r="B671">
            <v>3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1</v>
          </cell>
          <cell r="K671">
            <v>0</v>
          </cell>
          <cell r="L671">
            <v>0</v>
          </cell>
          <cell r="M671">
            <v>1</v>
          </cell>
          <cell r="N671">
            <v>0</v>
          </cell>
          <cell r="O671">
            <v>2</v>
          </cell>
          <cell r="Q671">
            <v>1</v>
          </cell>
          <cell r="S671">
            <v>1</v>
          </cell>
          <cell r="T671">
            <v>2</v>
          </cell>
          <cell r="U671">
            <v>2.02</v>
          </cell>
          <cell r="V671">
            <v>2.0402</v>
          </cell>
          <cell r="W671">
            <v>2.0606019999999998</v>
          </cell>
        </row>
        <row r="672">
          <cell r="A672" t="str">
            <v>Vor</v>
          </cell>
          <cell r="B672">
            <v>2</v>
          </cell>
          <cell r="C672">
            <v>0</v>
          </cell>
          <cell r="D672">
            <v>0</v>
          </cell>
          <cell r="E672">
            <v>0</v>
          </cell>
          <cell r="F672">
            <v>1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2</v>
          </cell>
          <cell r="P672">
            <v>1</v>
          </cell>
          <cell r="R672">
            <v>1</v>
          </cell>
          <cell r="T672">
            <v>2</v>
          </cell>
          <cell r="U672">
            <v>2.02</v>
          </cell>
          <cell r="V672">
            <v>2.0402</v>
          </cell>
          <cell r="W672">
            <v>2.0606019999999998</v>
          </cell>
        </row>
        <row r="673">
          <cell r="A673" t="str">
            <v>97#1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1</v>
          </cell>
          <cell r="H673">
            <v>0</v>
          </cell>
          <cell r="I673">
            <v>0</v>
          </cell>
          <cell r="J673">
            <v>1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2</v>
          </cell>
          <cell r="P673">
            <v>1</v>
          </cell>
          <cell r="Q673">
            <v>2</v>
          </cell>
          <cell r="R673">
            <v>1</v>
          </cell>
          <cell r="T673">
            <v>4</v>
          </cell>
          <cell r="U673">
            <v>4.04</v>
          </cell>
          <cell r="V673">
            <v>4.0804</v>
          </cell>
          <cell r="W673">
            <v>4.1212039999999996</v>
          </cell>
        </row>
        <row r="674">
          <cell r="A674" t="str">
            <v>97#2</v>
          </cell>
          <cell r="B674">
            <v>0</v>
          </cell>
          <cell r="C674">
            <v>1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1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2</v>
          </cell>
          <cell r="Q674">
            <v>1</v>
          </cell>
          <cell r="R674">
            <v>1</v>
          </cell>
          <cell r="S674">
            <v>1</v>
          </cell>
          <cell r="T674">
            <v>3</v>
          </cell>
          <cell r="U674">
            <v>3.0300000000000002</v>
          </cell>
          <cell r="V674">
            <v>3.0603000000000002</v>
          </cell>
          <cell r="W674">
            <v>3.0909030000000004</v>
          </cell>
        </row>
        <row r="675">
          <cell r="A675" t="str">
            <v>98#1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1</v>
          </cell>
          <cell r="R675">
            <v>1</v>
          </cell>
          <cell r="S675">
            <v>1</v>
          </cell>
          <cell r="T675">
            <v>4</v>
          </cell>
          <cell r="U675">
            <v>4.04</v>
          </cell>
          <cell r="V675">
            <v>4.0804</v>
          </cell>
          <cell r="W675">
            <v>4.1212039999999996</v>
          </cell>
        </row>
        <row r="676">
          <cell r="A676" t="str">
            <v>98#2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1</v>
          </cell>
          <cell r="O676">
            <v>1</v>
          </cell>
          <cell r="Q676">
            <v>2</v>
          </cell>
          <cell r="S676">
            <v>1</v>
          </cell>
          <cell r="T676">
            <v>3</v>
          </cell>
          <cell r="U676">
            <v>3.0300000000000002</v>
          </cell>
          <cell r="V676">
            <v>3.0603000000000002</v>
          </cell>
          <cell r="W676">
            <v>3.0909030000000004</v>
          </cell>
        </row>
        <row r="677">
          <cell r="A677" t="str">
            <v>Mos</v>
          </cell>
          <cell r="B677">
            <v>5</v>
          </cell>
          <cell r="O677">
            <v>0</v>
          </cell>
          <cell r="T677">
            <v>0</v>
          </cell>
        </row>
        <row r="678">
          <cell r="A678" t="str">
            <v>Con</v>
          </cell>
          <cell r="B678">
            <v>60</v>
          </cell>
          <cell r="C678">
            <v>5</v>
          </cell>
          <cell r="D678">
            <v>3</v>
          </cell>
          <cell r="E678">
            <v>5</v>
          </cell>
          <cell r="F678">
            <v>6</v>
          </cell>
          <cell r="G678">
            <v>2</v>
          </cell>
          <cell r="H678">
            <v>4</v>
          </cell>
          <cell r="I678">
            <v>5</v>
          </cell>
          <cell r="J678">
            <v>4</v>
          </cell>
          <cell r="K678">
            <v>4</v>
          </cell>
          <cell r="L678">
            <v>6</v>
          </cell>
          <cell r="M678">
            <v>3</v>
          </cell>
          <cell r="N678">
            <v>3</v>
          </cell>
          <cell r="O678">
            <v>50</v>
          </cell>
          <cell r="P678">
            <v>11</v>
          </cell>
          <cell r="Q678">
            <v>18</v>
          </cell>
          <cell r="R678">
            <v>14</v>
          </cell>
          <cell r="S678">
            <v>15</v>
          </cell>
          <cell r="T678">
            <v>58</v>
          </cell>
          <cell r="U678">
            <v>58.580000000000005</v>
          </cell>
          <cell r="V678">
            <v>59.16579999999999</v>
          </cell>
          <cell r="W678">
            <v>59.757457999999993</v>
          </cell>
        </row>
        <row r="680">
          <cell r="A680" t="str">
            <v xml:space="preserve">DPP Installation fee </v>
          </cell>
        </row>
        <row r="681">
          <cell r="B681">
            <v>35765</v>
          </cell>
          <cell r="C681">
            <v>35796</v>
          </cell>
          <cell r="D681">
            <v>35827</v>
          </cell>
          <cell r="E681">
            <v>35855</v>
          </cell>
          <cell r="F681">
            <v>35886</v>
          </cell>
          <cell r="G681">
            <v>35916</v>
          </cell>
          <cell r="H681">
            <v>35947</v>
          </cell>
          <cell r="I681">
            <v>35977</v>
          </cell>
          <cell r="J681">
            <v>36008</v>
          </cell>
          <cell r="K681">
            <v>36039</v>
          </cell>
          <cell r="L681">
            <v>36069</v>
          </cell>
          <cell r="M681">
            <v>36100</v>
          </cell>
          <cell r="N681">
            <v>36130</v>
          </cell>
          <cell r="O681" t="str">
            <v>Total 98</v>
          </cell>
          <cell r="P681" t="str">
            <v>Q1-99</v>
          </cell>
          <cell r="Q681" t="str">
            <v>Q2-99</v>
          </cell>
          <cell r="R681" t="str">
            <v>Q3-99</v>
          </cell>
          <cell r="S681" t="str">
            <v>Q4-99</v>
          </cell>
          <cell r="T681" t="str">
            <v>Total 99</v>
          </cell>
          <cell r="U681">
            <v>2000</v>
          </cell>
          <cell r="V681">
            <v>2001</v>
          </cell>
          <cell r="W681">
            <v>2002</v>
          </cell>
        </row>
        <row r="682">
          <cell r="A682" t="str">
            <v>Ark</v>
          </cell>
          <cell r="C682">
            <v>400</v>
          </cell>
          <cell r="D682">
            <v>400</v>
          </cell>
          <cell r="E682">
            <v>400</v>
          </cell>
          <cell r="F682">
            <v>400</v>
          </cell>
          <cell r="G682">
            <v>400</v>
          </cell>
          <cell r="H682">
            <v>400</v>
          </cell>
          <cell r="I682">
            <v>400</v>
          </cell>
          <cell r="J682">
            <v>400</v>
          </cell>
          <cell r="K682">
            <v>400</v>
          </cell>
          <cell r="L682">
            <v>400</v>
          </cell>
          <cell r="M682">
            <v>400</v>
          </cell>
          <cell r="N682">
            <v>400</v>
          </cell>
          <cell r="P682">
            <v>380</v>
          </cell>
          <cell r="Q682">
            <v>380</v>
          </cell>
          <cell r="R682">
            <v>380</v>
          </cell>
          <cell r="S682">
            <v>380</v>
          </cell>
          <cell r="U682">
            <v>361</v>
          </cell>
          <cell r="V682">
            <v>342.95</v>
          </cell>
          <cell r="W682">
            <v>325.80249999999995</v>
          </cell>
        </row>
        <row r="683">
          <cell r="A683" t="str">
            <v>Eka</v>
          </cell>
          <cell r="C683">
            <v>400</v>
          </cell>
          <cell r="D683">
            <v>400</v>
          </cell>
          <cell r="E683">
            <v>400</v>
          </cell>
          <cell r="F683">
            <v>400</v>
          </cell>
          <cell r="G683">
            <v>400</v>
          </cell>
          <cell r="H683">
            <v>400</v>
          </cell>
          <cell r="I683">
            <v>400</v>
          </cell>
          <cell r="J683">
            <v>400</v>
          </cell>
          <cell r="K683">
            <v>400</v>
          </cell>
          <cell r="L683">
            <v>400</v>
          </cell>
          <cell r="M683">
            <v>400</v>
          </cell>
          <cell r="N683">
            <v>400</v>
          </cell>
          <cell r="P683">
            <v>380</v>
          </cell>
          <cell r="Q683">
            <v>380</v>
          </cell>
          <cell r="R683">
            <v>380</v>
          </cell>
          <cell r="S683">
            <v>380</v>
          </cell>
          <cell r="U683">
            <v>361</v>
          </cell>
          <cell r="V683">
            <v>342.95</v>
          </cell>
          <cell r="W683">
            <v>325.80249999999995</v>
          </cell>
        </row>
        <row r="684">
          <cell r="A684" t="str">
            <v>Irk</v>
          </cell>
          <cell r="C684">
            <v>400</v>
          </cell>
          <cell r="D684">
            <v>400</v>
          </cell>
          <cell r="E684">
            <v>400</v>
          </cell>
          <cell r="F684">
            <v>400</v>
          </cell>
          <cell r="G684">
            <v>400</v>
          </cell>
          <cell r="H684">
            <v>400</v>
          </cell>
          <cell r="I684">
            <v>400</v>
          </cell>
          <cell r="J684">
            <v>400</v>
          </cell>
          <cell r="K684">
            <v>400</v>
          </cell>
          <cell r="L684">
            <v>400</v>
          </cell>
          <cell r="M684">
            <v>400</v>
          </cell>
          <cell r="N684">
            <v>400</v>
          </cell>
          <cell r="P684">
            <v>380</v>
          </cell>
          <cell r="Q684">
            <v>380</v>
          </cell>
          <cell r="R684">
            <v>380</v>
          </cell>
          <cell r="S684">
            <v>380</v>
          </cell>
          <cell r="U684">
            <v>361</v>
          </cell>
          <cell r="V684">
            <v>342.95</v>
          </cell>
          <cell r="W684">
            <v>325.80249999999995</v>
          </cell>
        </row>
        <row r="685">
          <cell r="A685" t="str">
            <v>Kha</v>
          </cell>
          <cell r="C685">
            <v>400</v>
          </cell>
          <cell r="D685">
            <v>400</v>
          </cell>
          <cell r="E685">
            <v>400</v>
          </cell>
          <cell r="F685">
            <v>400</v>
          </cell>
          <cell r="G685">
            <v>400</v>
          </cell>
          <cell r="H685">
            <v>400</v>
          </cell>
          <cell r="I685">
            <v>400</v>
          </cell>
          <cell r="J685">
            <v>400</v>
          </cell>
          <cell r="K685">
            <v>400</v>
          </cell>
          <cell r="L685">
            <v>400</v>
          </cell>
          <cell r="M685">
            <v>400</v>
          </cell>
          <cell r="N685">
            <v>400</v>
          </cell>
          <cell r="P685">
            <v>380</v>
          </cell>
          <cell r="Q685">
            <v>380</v>
          </cell>
          <cell r="R685">
            <v>380</v>
          </cell>
          <cell r="S685">
            <v>380</v>
          </cell>
          <cell r="U685">
            <v>361</v>
          </cell>
          <cell r="V685">
            <v>342.95</v>
          </cell>
          <cell r="W685">
            <v>325.80249999999995</v>
          </cell>
        </row>
        <row r="686">
          <cell r="A686" t="str">
            <v>Kra</v>
          </cell>
          <cell r="C686">
            <v>400</v>
          </cell>
          <cell r="D686">
            <v>400</v>
          </cell>
          <cell r="E686">
            <v>400</v>
          </cell>
          <cell r="F686">
            <v>400</v>
          </cell>
          <cell r="G686">
            <v>400</v>
          </cell>
          <cell r="H686">
            <v>400</v>
          </cell>
          <cell r="I686">
            <v>400</v>
          </cell>
          <cell r="J686">
            <v>400</v>
          </cell>
          <cell r="K686">
            <v>400</v>
          </cell>
          <cell r="L686">
            <v>400</v>
          </cell>
          <cell r="M686">
            <v>400</v>
          </cell>
          <cell r="N686">
            <v>400</v>
          </cell>
          <cell r="P686">
            <v>380</v>
          </cell>
          <cell r="Q686">
            <v>380</v>
          </cell>
          <cell r="R686">
            <v>380</v>
          </cell>
          <cell r="S686">
            <v>380</v>
          </cell>
          <cell r="U686">
            <v>361</v>
          </cell>
          <cell r="V686">
            <v>342.95</v>
          </cell>
          <cell r="W686">
            <v>325.80249999999995</v>
          </cell>
        </row>
        <row r="687">
          <cell r="A687" t="str">
            <v>Niz</v>
          </cell>
          <cell r="C687">
            <v>400</v>
          </cell>
          <cell r="D687">
            <v>400</v>
          </cell>
          <cell r="E687">
            <v>400</v>
          </cell>
          <cell r="F687">
            <v>400</v>
          </cell>
          <cell r="G687">
            <v>400</v>
          </cell>
          <cell r="H687">
            <v>400</v>
          </cell>
          <cell r="I687">
            <v>400</v>
          </cell>
          <cell r="J687">
            <v>400</v>
          </cell>
          <cell r="K687">
            <v>400</v>
          </cell>
          <cell r="L687">
            <v>400</v>
          </cell>
          <cell r="M687">
            <v>400</v>
          </cell>
          <cell r="N687">
            <v>400</v>
          </cell>
          <cell r="P687">
            <v>380</v>
          </cell>
          <cell r="Q687">
            <v>380</v>
          </cell>
          <cell r="R687">
            <v>380</v>
          </cell>
          <cell r="S687">
            <v>380</v>
          </cell>
          <cell r="U687">
            <v>361</v>
          </cell>
          <cell r="V687">
            <v>342.95</v>
          </cell>
          <cell r="W687">
            <v>325.80249999999995</v>
          </cell>
        </row>
        <row r="688">
          <cell r="A688" t="str">
            <v>Nov</v>
          </cell>
          <cell r="C688">
            <v>400</v>
          </cell>
          <cell r="D688">
            <v>400</v>
          </cell>
          <cell r="E688">
            <v>400</v>
          </cell>
          <cell r="F688">
            <v>400</v>
          </cell>
          <cell r="G688">
            <v>400</v>
          </cell>
          <cell r="H688">
            <v>400</v>
          </cell>
          <cell r="I688">
            <v>400</v>
          </cell>
          <cell r="J688">
            <v>400</v>
          </cell>
          <cell r="K688">
            <v>400</v>
          </cell>
          <cell r="L688">
            <v>400</v>
          </cell>
          <cell r="M688">
            <v>400</v>
          </cell>
          <cell r="N688">
            <v>400</v>
          </cell>
          <cell r="P688">
            <v>380</v>
          </cell>
          <cell r="Q688">
            <v>380</v>
          </cell>
          <cell r="R688">
            <v>380</v>
          </cell>
          <cell r="S688">
            <v>380</v>
          </cell>
          <cell r="U688">
            <v>361</v>
          </cell>
          <cell r="V688">
            <v>342.95</v>
          </cell>
          <cell r="W688">
            <v>325.80249999999995</v>
          </cell>
        </row>
        <row r="689">
          <cell r="A689" t="str">
            <v>Syk</v>
          </cell>
          <cell r="C689">
            <v>400</v>
          </cell>
          <cell r="D689">
            <v>400</v>
          </cell>
          <cell r="E689">
            <v>400</v>
          </cell>
          <cell r="F689">
            <v>400</v>
          </cell>
          <cell r="G689">
            <v>400</v>
          </cell>
          <cell r="H689">
            <v>400</v>
          </cell>
          <cell r="I689">
            <v>400</v>
          </cell>
          <cell r="J689">
            <v>400</v>
          </cell>
          <cell r="K689">
            <v>400</v>
          </cell>
          <cell r="L689">
            <v>400</v>
          </cell>
          <cell r="M689">
            <v>400</v>
          </cell>
          <cell r="N689">
            <v>400</v>
          </cell>
          <cell r="P689">
            <v>380</v>
          </cell>
          <cell r="Q689">
            <v>380</v>
          </cell>
          <cell r="R689">
            <v>380</v>
          </cell>
          <cell r="S689">
            <v>380</v>
          </cell>
          <cell r="U689">
            <v>361</v>
          </cell>
          <cell r="V689">
            <v>342.95</v>
          </cell>
          <cell r="W689">
            <v>325.80249999999995</v>
          </cell>
        </row>
        <row r="690">
          <cell r="A690" t="str">
            <v>Tyu</v>
          </cell>
          <cell r="C690">
            <v>400</v>
          </cell>
          <cell r="D690">
            <v>400</v>
          </cell>
          <cell r="E690">
            <v>400</v>
          </cell>
          <cell r="F690">
            <v>400</v>
          </cell>
          <cell r="G690">
            <v>400</v>
          </cell>
          <cell r="H690">
            <v>400</v>
          </cell>
          <cell r="I690">
            <v>400</v>
          </cell>
          <cell r="J690">
            <v>400</v>
          </cell>
          <cell r="K690">
            <v>400</v>
          </cell>
          <cell r="L690">
            <v>400</v>
          </cell>
          <cell r="M690">
            <v>400</v>
          </cell>
          <cell r="N690">
            <v>400</v>
          </cell>
          <cell r="P690">
            <v>380</v>
          </cell>
          <cell r="Q690">
            <v>380</v>
          </cell>
          <cell r="R690">
            <v>380</v>
          </cell>
          <cell r="S690">
            <v>380</v>
          </cell>
          <cell r="U690">
            <v>361</v>
          </cell>
          <cell r="V690">
            <v>342.95</v>
          </cell>
          <cell r="W690">
            <v>325.80249999999995</v>
          </cell>
        </row>
        <row r="691">
          <cell r="A691" t="str">
            <v>Ufa</v>
          </cell>
          <cell r="C691">
            <v>400</v>
          </cell>
          <cell r="D691">
            <v>400</v>
          </cell>
          <cell r="E691">
            <v>400</v>
          </cell>
          <cell r="F691">
            <v>400</v>
          </cell>
          <cell r="G691">
            <v>400</v>
          </cell>
          <cell r="H691">
            <v>400</v>
          </cell>
          <cell r="I691">
            <v>400</v>
          </cell>
          <cell r="J691">
            <v>400</v>
          </cell>
          <cell r="K691">
            <v>400</v>
          </cell>
          <cell r="L691">
            <v>400</v>
          </cell>
          <cell r="M691">
            <v>400</v>
          </cell>
          <cell r="N691">
            <v>400</v>
          </cell>
          <cell r="P691">
            <v>380</v>
          </cell>
          <cell r="Q691">
            <v>380</v>
          </cell>
          <cell r="R691">
            <v>380</v>
          </cell>
          <cell r="S691">
            <v>380</v>
          </cell>
          <cell r="U691">
            <v>361</v>
          </cell>
          <cell r="V691">
            <v>342.95</v>
          </cell>
          <cell r="W691">
            <v>325.80249999999995</v>
          </cell>
        </row>
        <row r="692">
          <cell r="A692" t="str">
            <v>Vla</v>
          </cell>
          <cell r="C692">
            <v>400</v>
          </cell>
          <cell r="D692">
            <v>400</v>
          </cell>
          <cell r="E692">
            <v>400</v>
          </cell>
          <cell r="F692">
            <v>400</v>
          </cell>
          <cell r="G692">
            <v>400</v>
          </cell>
          <cell r="H692">
            <v>400</v>
          </cell>
          <cell r="I692">
            <v>400</v>
          </cell>
          <cell r="J692">
            <v>400</v>
          </cell>
          <cell r="K692">
            <v>400</v>
          </cell>
          <cell r="L692">
            <v>400</v>
          </cell>
          <cell r="M692">
            <v>400</v>
          </cell>
          <cell r="N692">
            <v>400</v>
          </cell>
          <cell r="P692">
            <v>380</v>
          </cell>
          <cell r="Q692">
            <v>380</v>
          </cell>
          <cell r="R692">
            <v>380</v>
          </cell>
          <cell r="S692">
            <v>380</v>
          </cell>
          <cell r="U692">
            <v>361</v>
          </cell>
          <cell r="V692">
            <v>342.95</v>
          </cell>
          <cell r="W692">
            <v>325.80249999999995</v>
          </cell>
        </row>
        <row r="693">
          <cell r="A693" t="str">
            <v>Vol</v>
          </cell>
          <cell r="C693">
            <v>400</v>
          </cell>
          <cell r="D693">
            <v>400</v>
          </cell>
          <cell r="E693">
            <v>400</v>
          </cell>
          <cell r="F693">
            <v>400</v>
          </cell>
          <cell r="G693">
            <v>400</v>
          </cell>
          <cell r="H693">
            <v>400</v>
          </cell>
          <cell r="I693">
            <v>400</v>
          </cell>
          <cell r="J693">
            <v>400</v>
          </cell>
          <cell r="K693">
            <v>400</v>
          </cell>
          <cell r="L693">
            <v>400</v>
          </cell>
          <cell r="M693">
            <v>400</v>
          </cell>
          <cell r="N693">
            <v>400</v>
          </cell>
          <cell r="P693">
            <v>380</v>
          </cell>
          <cell r="Q693">
            <v>380</v>
          </cell>
          <cell r="R693">
            <v>380</v>
          </cell>
          <cell r="S693">
            <v>380</v>
          </cell>
          <cell r="U693">
            <v>361</v>
          </cell>
          <cell r="V693">
            <v>342.95</v>
          </cell>
          <cell r="W693">
            <v>325.80249999999995</v>
          </cell>
        </row>
        <row r="694">
          <cell r="A694" t="str">
            <v>Vor</v>
          </cell>
          <cell r="C694">
            <v>400</v>
          </cell>
          <cell r="D694">
            <v>400</v>
          </cell>
          <cell r="E694">
            <v>400</v>
          </cell>
          <cell r="F694">
            <v>400</v>
          </cell>
          <cell r="G694">
            <v>400</v>
          </cell>
          <cell r="H694">
            <v>400</v>
          </cell>
          <cell r="I694">
            <v>400</v>
          </cell>
          <cell r="J694">
            <v>400</v>
          </cell>
          <cell r="K694">
            <v>400</v>
          </cell>
          <cell r="L694">
            <v>400</v>
          </cell>
          <cell r="M694">
            <v>400</v>
          </cell>
          <cell r="N694">
            <v>400</v>
          </cell>
          <cell r="P694">
            <v>380</v>
          </cell>
          <cell r="Q694">
            <v>380</v>
          </cell>
          <cell r="R694">
            <v>380</v>
          </cell>
          <cell r="S694">
            <v>380</v>
          </cell>
          <cell r="U694">
            <v>361</v>
          </cell>
          <cell r="V694">
            <v>342.95</v>
          </cell>
          <cell r="W694">
            <v>325.80249999999995</v>
          </cell>
        </row>
        <row r="695">
          <cell r="A695" t="str">
            <v>97#1</v>
          </cell>
          <cell r="C695">
            <v>400</v>
          </cell>
          <cell r="D695">
            <v>400</v>
          </cell>
          <cell r="E695">
            <v>400</v>
          </cell>
          <cell r="F695">
            <v>400</v>
          </cell>
          <cell r="G695">
            <v>400</v>
          </cell>
          <cell r="H695">
            <v>400</v>
          </cell>
          <cell r="I695">
            <v>400</v>
          </cell>
          <cell r="J695">
            <v>400</v>
          </cell>
          <cell r="K695">
            <v>400</v>
          </cell>
          <cell r="L695">
            <v>400</v>
          </cell>
          <cell r="M695">
            <v>400</v>
          </cell>
          <cell r="N695">
            <v>400</v>
          </cell>
          <cell r="P695">
            <v>380</v>
          </cell>
          <cell r="Q695">
            <v>380</v>
          </cell>
          <cell r="R695">
            <v>380</v>
          </cell>
          <cell r="S695">
            <v>380</v>
          </cell>
          <cell r="U695">
            <v>361</v>
          </cell>
          <cell r="V695">
            <v>342.95</v>
          </cell>
          <cell r="W695">
            <v>325.80249999999995</v>
          </cell>
        </row>
        <row r="696">
          <cell r="A696" t="str">
            <v>97#2</v>
          </cell>
          <cell r="C696">
            <v>400</v>
          </cell>
          <cell r="D696">
            <v>400</v>
          </cell>
          <cell r="E696">
            <v>400</v>
          </cell>
          <cell r="F696">
            <v>400</v>
          </cell>
          <cell r="G696">
            <v>400</v>
          </cell>
          <cell r="H696">
            <v>400</v>
          </cell>
          <cell r="I696">
            <v>400</v>
          </cell>
          <cell r="J696">
            <v>400</v>
          </cell>
          <cell r="K696">
            <v>400</v>
          </cell>
          <cell r="L696">
            <v>400</v>
          </cell>
          <cell r="M696">
            <v>400</v>
          </cell>
          <cell r="N696">
            <v>400</v>
          </cell>
          <cell r="P696">
            <v>380</v>
          </cell>
          <cell r="Q696">
            <v>380</v>
          </cell>
          <cell r="R696">
            <v>380</v>
          </cell>
          <cell r="S696">
            <v>380</v>
          </cell>
          <cell r="U696">
            <v>361</v>
          </cell>
          <cell r="V696">
            <v>342.95</v>
          </cell>
          <cell r="W696">
            <v>325.80249999999995</v>
          </cell>
        </row>
        <row r="697">
          <cell r="A697" t="str">
            <v>98#1</v>
          </cell>
          <cell r="C697">
            <v>400</v>
          </cell>
          <cell r="D697">
            <v>400</v>
          </cell>
          <cell r="E697">
            <v>400</v>
          </cell>
          <cell r="F697">
            <v>400</v>
          </cell>
          <cell r="G697">
            <v>400</v>
          </cell>
          <cell r="H697">
            <v>400</v>
          </cell>
          <cell r="I697">
            <v>400</v>
          </cell>
          <cell r="J697">
            <v>400</v>
          </cell>
          <cell r="K697">
            <v>400</v>
          </cell>
          <cell r="L697">
            <v>400</v>
          </cell>
          <cell r="M697">
            <v>400</v>
          </cell>
          <cell r="N697">
            <v>400</v>
          </cell>
          <cell r="P697">
            <v>380</v>
          </cell>
          <cell r="Q697">
            <v>380</v>
          </cell>
          <cell r="R697">
            <v>380</v>
          </cell>
          <cell r="S697">
            <v>380</v>
          </cell>
          <cell r="U697">
            <v>361</v>
          </cell>
          <cell r="V697">
            <v>342.95</v>
          </cell>
          <cell r="W697">
            <v>325.80249999999995</v>
          </cell>
        </row>
        <row r="698">
          <cell r="A698" t="str">
            <v>98#2</v>
          </cell>
          <cell r="C698">
            <v>400</v>
          </cell>
          <cell r="D698">
            <v>400</v>
          </cell>
          <cell r="E698">
            <v>400</v>
          </cell>
          <cell r="F698">
            <v>400</v>
          </cell>
          <cell r="G698">
            <v>400</v>
          </cell>
          <cell r="H698">
            <v>400</v>
          </cell>
          <cell r="I698">
            <v>400</v>
          </cell>
          <cell r="J698">
            <v>400</v>
          </cell>
          <cell r="K698">
            <v>400</v>
          </cell>
          <cell r="L698">
            <v>400</v>
          </cell>
          <cell r="M698">
            <v>400</v>
          </cell>
          <cell r="N698">
            <v>400</v>
          </cell>
          <cell r="P698">
            <v>380</v>
          </cell>
          <cell r="Q698">
            <v>380</v>
          </cell>
          <cell r="R698">
            <v>380</v>
          </cell>
          <cell r="S698">
            <v>380</v>
          </cell>
          <cell r="U698">
            <v>361</v>
          </cell>
          <cell r="V698">
            <v>342.95</v>
          </cell>
          <cell r="W698">
            <v>325.80249999999995</v>
          </cell>
        </row>
        <row r="699">
          <cell r="A699" t="str">
            <v>Mos</v>
          </cell>
        </row>
        <row r="700">
          <cell r="A700" t="str">
            <v>Con</v>
          </cell>
          <cell r="C700">
            <v>3300</v>
          </cell>
          <cell r="D700">
            <v>3300</v>
          </cell>
          <cell r="E700">
            <v>3300</v>
          </cell>
          <cell r="F700">
            <v>3300</v>
          </cell>
          <cell r="G700">
            <v>3300</v>
          </cell>
          <cell r="H700">
            <v>3300</v>
          </cell>
          <cell r="I700">
            <v>3300</v>
          </cell>
          <cell r="J700">
            <v>3300</v>
          </cell>
          <cell r="K700">
            <v>3300</v>
          </cell>
          <cell r="L700">
            <v>3300</v>
          </cell>
          <cell r="M700">
            <v>3300</v>
          </cell>
          <cell r="N700">
            <v>3300</v>
          </cell>
          <cell r="P700">
            <v>3135</v>
          </cell>
          <cell r="Q700">
            <v>3135</v>
          </cell>
          <cell r="R700">
            <v>3135</v>
          </cell>
          <cell r="S700">
            <v>3135</v>
          </cell>
          <cell r="U700">
            <v>2978.25</v>
          </cell>
          <cell r="V700">
            <v>2829.3375000000001</v>
          </cell>
          <cell r="W700">
            <v>2687.870625</v>
          </cell>
        </row>
        <row r="702">
          <cell r="A702" t="str">
            <v>DPP Monthly fee</v>
          </cell>
        </row>
        <row r="703">
          <cell r="B703">
            <v>35765</v>
          </cell>
          <cell r="C703">
            <v>35796</v>
          </cell>
          <cell r="D703">
            <v>35827</v>
          </cell>
          <cell r="E703">
            <v>35855</v>
          </cell>
          <cell r="F703">
            <v>35886</v>
          </cell>
          <cell r="G703">
            <v>35916</v>
          </cell>
          <cell r="H703">
            <v>35947</v>
          </cell>
          <cell r="I703">
            <v>35977</v>
          </cell>
          <cell r="J703">
            <v>36008</v>
          </cell>
          <cell r="K703">
            <v>36039</v>
          </cell>
          <cell r="L703">
            <v>36069</v>
          </cell>
          <cell r="M703">
            <v>36100</v>
          </cell>
          <cell r="N703">
            <v>36130</v>
          </cell>
          <cell r="O703" t="str">
            <v>Total 98</v>
          </cell>
          <cell r="P703" t="str">
            <v>Q1-99</v>
          </cell>
          <cell r="Q703" t="str">
            <v>Q2-99</v>
          </cell>
          <cell r="R703" t="str">
            <v>Q3-99</v>
          </cell>
          <cell r="S703" t="str">
            <v>Q4-99</v>
          </cell>
          <cell r="T703" t="str">
            <v>Total 99</v>
          </cell>
          <cell r="U703">
            <v>2000</v>
          </cell>
          <cell r="V703">
            <v>2001</v>
          </cell>
          <cell r="W703">
            <v>2002</v>
          </cell>
        </row>
        <row r="704">
          <cell r="A704" t="str">
            <v>Ark</v>
          </cell>
          <cell r="C704">
            <v>400</v>
          </cell>
          <cell r="D704">
            <v>400</v>
          </cell>
          <cell r="E704">
            <v>400</v>
          </cell>
          <cell r="F704">
            <v>400</v>
          </cell>
          <cell r="G704">
            <v>400</v>
          </cell>
          <cell r="H704">
            <v>400</v>
          </cell>
          <cell r="I704">
            <v>400</v>
          </cell>
          <cell r="J704">
            <v>400</v>
          </cell>
          <cell r="K704">
            <v>400</v>
          </cell>
          <cell r="L704">
            <v>400</v>
          </cell>
          <cell r="M704">
            <v>400</v>
          </cell>
          <cell r="N704">
            <v>400</v>
          </cell>
          <cell r="P704">
            <v>380</v>
          </cell>
          <cell r="Q704">
            <v>380</v>
          </cell>
          <cell r="R704">
            <v>380</v>
          </cell>
          <cell r="S704">
            <v>380</v>
          </cell>
          <cell r="U704">
            <v>361</v>
          </cell>
          <cell r="V704">
            <v>342.95</v>
          </cell>
          <cell r="W704">
            <v>325.80249999999995</v>
          </cell>
        </row>
        <row r="705">
          <cell r="A705" t="str">
            <v>Eka</v>
          </cell>
          <cell r="C705">
            <v>400</v>
          </cell>
          <cell r="D705">
            <v>400</v>
          </cell>
          <cell r="E705">
            <v>400</v>
          </cell>
          <cell r="F705">
            <v>400</v>
          </cell>
          <cell r="G705">
            <v>400</v>
          </cell>
          <cell r="H705">
            <v>400</v>
          </cell>
          <cell r="I705">
            <v>400</v>
          </cell>
          <cell r="J705">
            <v>400</v>
          </cell>
          <cell r="K705">
            <v>400</v>
          </cell>
          <cell r="L705">
            <v>400</v>
          </cell>
          <cell r="M705">
            <v>400</v>
          </cell>
          <cell r="N705">
            <v>400</v>
          </cell>
          <cell r="P705">
            <v>380</v>
          </cell>
          <cell r="Q705">
            <v>380</v>
          </cell>
          <cell r="R705">
            <v>380</v>
          </cell>
          <cell r="S705">
            <v>380</v>
          </cell>
          <cell r="U705">
            <v>361</v>
          </cell>
          <cell r="V705">
            <v>342.95</v>
          </cell>
          <cell r="W705">
            <v>325.80249999999995</v>
          </cell>
        </row>
        <row r="706">
          <cell r="A706" t="str">
            <v>Irk</v>
          </cell>
          <cell r="C706">
            <v>400</v>
          </cell>
          <cell r="D706">
            <v>400</v>
          </cell>
          <cell r="E706">
            <v>400</v>
          </cell>
          <cell r="F706">
            <v>400</v>
          </cell>
          <cell r="G706">
            <v>400</v>
          </cell>
          <cell r="H706">
            <v>400</v>
          </cell>
          <cell r="I706">
            <v>400</v>
          </cell>
          <cell r="J706">
            <v>400</v>
          </cell>
          <cell r="K706">
            <v>400</v>
          </cell>
          <cell r="L706">
            <v>400</v>
          </cell>
          <cell r="M706">
            <v>400</v>
          </cell>
          <cell r="N706">
            <v>400</v>
          </cell>
          <cell r="P706">
            <v>380</v>
          </cell>
          <cell r="Q706">
            <v>380</v>
          </cell>
          <cell r="R706">
            <v>380</v>
          </cell>
          <cell r="S706">
            <v>380</v>
          </cell>
          <cell r="U706">
            <v>361</v>
          </cell>
          <cell r="V706">
            <v>342.95</v>
          </cell>
          <cell r="W706">
            <v>325.80249999999995</v>
          </cell>
        </row>
        <row r="707">
          <cell r="A707" t="str">
            <v>Kha</v>
          </cell>
          <cell r="C707">
            <v>400</v>
          </cell>
          <cell r="D707">
            <v>400</v>
          </cell>
          <cell r="E707">
            <v>400</v>
          </cell>
          <cell r="F707">
            <v>400</v>
          </cell>
          <cell r="G707">
            <v>400</v>
          </cell>
          <cell r="H707">
            <v>400</v>
          </cell>
          <cell r="I707">
            <v>400</v>
          </cell>
          <cell r="J707">
            <v>400</v>
          </cell>
          <cell r="K707">
            <v>400</v>
          </cell>
          <cell r="L707">
            <v>400</v>
          </cell>
          <cell r="M707">
            <v>400</v>
          </cell>
          <cell r="N707">
            <v>400</v>
          </cell>
          <cell r="P707">
            <v>380</v>
          </cell>
          <cell r="Q707">
            <v>380</v>
          </cell>
          <cell r="R707">
            <v>380</v>
          </cell>
          <cell r="S707">
            <v>380</v>
          </cell>
          <cell r="U707">
            <v>361</v>
          </cell>
          <cell r="V707">
            <v>342.95</v>
          </cell>
          <cell r="W707">
            <v>325.80249999999995</v>
          </cell>
        </row>
        <row r="708">
          <cell r="A708" t="str">
            <v>Kra</v>
          </cell>
          <cell r="C708">
            <v>400</v>
          </cell>
          <cell r="D708">
            <v>400</v>
          </cell>
          <cell r="E708">
            <v>400</v>
          </cell>
          <cell r="F708">
            <v>400</v>
          </cell>
          <cell r="G708">
            <v>400</v>
          </cell>
          <cell r="H708">
            <v>400</v>
          </cell>
          <cell r="I708">
            <v>400</v>
          </cell>
          <cell r="J708">
            <v>400</v>
          </cell>
          <cell r="K708">
            <v>400</v>
          </cell>
          <cell r="L708">
            <v>400</v>
          </cell>
          <cell r="M708">
            <v>400</v>
          </cell>
          <cell r="N708">
            <v>400</v>
          </cell>
          <cell r="P708">
            <v>380</v>
          </cell>
          <cell r="Q708">
            <v>380</v>
          </cell>
          <cell r="R708">
            <v>380</v>
          </cell>
          <cell r="S708">
            <v>380</v>
          </cell>
          <cell r="U708">
            <v>361</v>
          </cell>
          <cell r="V708">
            <v>342.95</v>
          </cell>
          <cell r="W708">
            <v>325.80249999999995</v>
          </cell>
        </row>
        <row r="709">
          <cell r="A709" t="str">
            <v>Niz</v>
          </cell>
          <cell r="C709">
            <v>400</v>
          </cell>
          <cell r="D709">
            <v>400</v>
          </cell>
          <cell r="E709">
            <v>400</v>
          </cell>
          <cell r="F709">
            <v>400</v>
          </cell>
          <cell r="G709">
            <v>400</v>
          </cell>
          <cell r="H709">
            <v>400</v>
          </cell>
          <cell r="I709">
            <v>400</v>
          </cell>
          <cell r="J709">
            <v>400</v>
          </cell>
          <cell r="K709">
            <v>400</v>
          </cell>
          <cell r="L709">
            <v>400</v>
          </cell>
          <cell r="M709">
            <v>400</v>
          </cell>
          <cell r="N709">
            <v>400</v>
          </cell>
          <cell r="P709">
            <v>380</v>
          </cell>
          <cell r="Q709">
            <v>380</v>
          </cell>
          <cell r="R709">
            <v>380</v>
          </cell>
          <cell r="S709">
            <v>380</v>
          </cell>
          <cell r="U709">
            <v>361</v>
          </cell>
          <cell r="V709">
            <v>342.95</v>
          </cell>
          <cell r="W709">
            <v>325.80249999999995</v>
          </cell>
        </row>
        <row r="710">
          <cell r="A710" t="str">
            <v>Nov</v>
          </cell>
          <cell r="C710">
            <v>400</v>
          </cell>
          <cell r="D710">
            <v>400</v>
          </cell>
          <cell r="E710">
            <v>400</v>
          </cell>
          <cell r="F710">
            <v>400</v>
          </cell>
          <cell r="G710">
            <v>400</v>
          </cell>
          <cell r="H710">
            <v>400</v>
          </cell>
          <cell r="I710">
            <v>400</v>
          </cell>
          <cell r="J710">
            <v>400</v>
          </cell>
          <cell r="K710">
            <v>400</v>
          </cell>
          <cell r="L710">
            <v>400</v>
          </cell>
          <cell r="M710">
            <v>400</v>
          </cell>
          <cell r="N710">
            <v>400</v>
          </cell>
          <cell r="P710">
            <v>380</v>
          </cell>
          <cell r="Q710">
            <v>380</v>
          </cell>
          <cell r="R710">
            <v>380</v>
          </cell>
          <cell r="S710">
            <v>380</v>
          </cell>
          <cell r="U710">
            <v>361</v>
          </cell>
          <cell r="V710">
            <v>342.95</v>
          </cell>
          <cell r="W710">
            <v>325.80249999999995</v>
          </cell>
        </row>
        <row r="711">
          <cell r="A711" t="str">
            <v>Syk</v>
          </cell>
          <cell r="C711">
            <v>400</v>
          </cell>
          <cell r="D711">
            <v>400</v>
          </cell>
          <cell r="E711">
            <v>400</v>
          </cell>
          <cell r="F711">
            <v>400</v>
          </cell>
          <cell r="G711">
            <v>400</v>
          </cell>
          <cell r="H711">
            <v>400</v>
          </cell>
          <cell r="I711">
            <v>400</v>
          </cell>
          <cell r="J711">
            <v>400</v>
          </cell>
          <cell r="K711">
            <v>400</v>
          </cell>
          <cell r="L711">
            <v>400</v>
          </cell>
          <cell r="M711">
            <v>400</v>
          </cell>
          <cell r="N711">
            <v>400</v>
          </cell>
          <cell r="P711">
            <v>380</v>
          </cell>
          <cell r="Q711">
            <v>380</v>
          </cell>
          <cell r="R711">
            <v>380</v>
          </cell>
          <cell r="S711">
            <v>380</v>
          </cell>
          <cell r="U711">
            <v>361</v>
          </cell>
          <cell r="V711">
            <v>342.95</v>
          </cell>
          <cell r="W711">
            <v>325.80249999999995</v>
          </cell>
        </row>
        <row r="712">
          <cell r="A712" t="str">
            <v>Tyu</v>
          </cell>
          <cell r="C712">
            <v>400</v>
          </cell>
          <cell r="D712">
            <v>400</v>
          </cell>
          <cell r="E712">
            <v>400</v>
          </cell>
          <cell r="F712">
            <v>400</v>
          </cell>
          <cell r="G712">
            <v>400</v>
          </cell>
          <cell r="H712">
            <v>400</v>
          </cell>
          <cell r="I712">
            <v>400</v>
          </cell>
          <cell r="J712">
            <v>400</v>
          </cell>
          <cell r="K712">
            <v>400</v>
          </cell>
          <cell r="L712">
            <v>400</v>
          </cell>
          <cell r="M712">
            <v>400</v>
          </cell>
          <cell r="N712">
            <v>400</v>
          </cell>
          <cell r="P712">
            <v>380</v>
          </cell>
          <cell r="Q712">
            <v>380</v>
          </cell>
          <cell r="R712">
            <v>380</v>
          </cell>
          <cell r="S712">
            <v>380</v>
          </cell>
          <cell r="U712">
            <v>361</v>
          </cell>
          <cell r="V712">
            <v>342.95</v>
          </cell>
          <cell r="W712">
            <v>325.80249999999995</v>
          </cell>
        </row>
        <row r="713">
          <cell r="A713" t="str">
            <v>Ufa</v>
          </cell>
          <cell r="C713">
            <v>400</v>
          </cell>
          <cell r="D713">
            <v>400</v>
          </cell>
          <cell r="E713">
            <v>400</v>
          </cell>
          <cell r="F713">
            <v>400</v>
          </cell>
          <cell r="G713">
            <v>400</v>
          </cell>
          <cell r="H713">
            <v>400</v>
          </cell>
          <cell r="I713">
            <v>400</v>
          </cell>
          <cell r="J713">
            <v>400</v>
          </cell>
          <cell r="K713">
            <v>400</v>
          </cell>
          <cell r="L713">
            <v>400</v>
          </cell>
          <cell r="M713">
            <v>400</v>
          </cell>
          <cell r="N713">
            <v>400</v>
          </cell>
          <cell r="P713">
            <v>380</v>
          </cell>
          <cell r="Q713">
            <v>380</v>
          </cell>
          <cell r="R713">
            <v>380</v>
          </cell>
          <cell r="S713">
            <v>380</v>
          </cell>
          <cell r="U713">
            <v>361</v>
          </cell>
          <cell r="V713">
            <v>342.95</v>
          </cell>
          <cell r="W713">
            <v>325.80249999999995</v>
          </cell>
        </row>
        <row r="714">
          <cell r="A714" t="str">
            <v>Vla</v>
          </cell>
          <cell r="C714">
            <v>400</v>
          </cell>
          <cell r="D714">
            <v>400</v>
          </cell>
          <cell r="E714">
            <v>400</v>
          </cell>
          <cell r="F714">
            <v>400</v>
          </cell>
          <cell r="G714">
            <v>400</v>
          </cell>
          <cell r="H714">
            <v>400</v>
          </cell>
          <cell r="I714">
            <v>400</v>
          </cell>
          <cell r="J714">
            <v>400</v>
          </cell>
          <cell r="K714">
            <v>400</v>
          </cell>
          <cell r="L714">
            <v>400</v>
          </cell>
          <cell r="M714">
            <v>400</v>
          </cell>
          <cell r="N714">
            <v>400</v>
          </cell>
          <cell r="P714">
            <v>380</v>
          </cell>
          <cell r="Q714">
            <v>380</v>
          </cell>
          <cell r="R714">
            <v>380</v>
          </cell>
          <cell r="S714">
            <v>380</v>
          </cell>
          <cell r="U714">
            <v>361</v>
          </cell>
          <cell r="V714">
            <v>342.95</v>
          </cell>
          <cell r="W714">
            <v>325.80249999999995</v>
          </cell>
        </row>
        <row r="715">
          <cell r="A715" t="str">
            <v>Vol</v>
          </cell>
          <cell r="C715">
            <v>400</v>
          </cell>
          <cell r="D715">
            <v>400</v>
          </cell>
          <cell r="E715">
            <v>400</v>
          </cell>
          <cell r="F715">
            <v>400</v>
          </cell>
          <cell r="G715">
            <v>400</v>
          </cell>
          <cell r="H715">
            <v>400</v>
          </cell>
          <cell r="I715">
            <v>400</v>
          </cell>
          <cell r="J715">
            <v>400</v>
          </cell>
          <cell r="K715">
            <v>400</v>
          </cell>
          <cell r="L715">
            <v>400</v>
          </cell>
          <cell r="M715">
            <v>400</v>
          </cell>
          <cell r="N715">
            <v>400</v>
          </cell>
          <cell r="P715">
            <v>380</v>
          </cell>
          <cell r="Q715">
            <v>380</v>
          </cell>
          <cell r="R715">
            <v>380</v>
          </cell>
          <cell r="S715">
            <v>380</v>
          </cell>
          <cell r="U715">
            <v>361</v>
          </cell>
          <cell r="V715">
            <v>342.95</v>
          </cell>
          <cell r="W715">
            <v>325.80249999999995</v>
          </cell>
        </row>
        <row r="716">
          <cell r="A716" t="str">
            <v>Vor</v>
          </cell>
          <cell r="C716">
            <v>400</v>
          </cell>
          <cell r="D716">
            <v>400</v>
          </cell>
          <cell r="E716">
            <v>400</v>
          </cell>
          <cell r="F716">
            <v>400</v>
          </cell>
          <cell r="G716">
            <v>400</v>
          </cell>
          <cell r="H716">
            <v>400</v>
          </cell>
          <cell r="I716">
            <v>400</v>
          </cell>
          <cell r="J716">
            <v>400</v>
          </cell>
          <cell r="K716">
            <v>400</v>
          </cell>
          <cell r="L716">
            <v>400</v>
          </cell>
          <cell r="M716">
            <v>400</v>
          </cell>
          <cell r="N716">
            <v>400</v>
          </cell>
          <cell r="P716">
            <v>380</v>
          </cell>
          <cell r="Q716">
            <v>380</v>
          </cell>
          <cell r="R716">
            <v>380</v>
          </cell>
          <cell r="S716">
            <v>380</v>
          </cell>
          <cell r="U716">
            <v>361</v>
          </cell>
          <cell r="V716">
            <v>342.95</v>
          </cell>
          <cell r="W716">
            <v>325.80249999999995</v>
          </cell>
        </row>
        <row r="717">
          <cell r="A717" t="str">
            <v>97#1</v>
          </cell>
          <cell r="C717">
            <v>400</v>
          </cell>
          <cell r="D717">
            <v>400</v>
          </cell>
          <cell r="E717">
            <v>400</v>
          </cell>
          <cell r="F717">
            <v>400</v>
          </cell>
          <cell r="G717">
            <v>400</v>
          </cell>
          <cell r="H717">
            <v>400</v>
          </cell>
          <cell r="I717">
            <v>400</v>
          </cell>
          <cell r="J717">
            <v>400</v>
          </cell>
          <cell r="K717">
            <v>400</v>
          </cell>
          <cell r="L717">
            <v>400</v>
          </cell>
          <cell r="M717">
            <v>400</v>
          </cell>
          <cell r="N717">
            <v>400</v>
          </cell>
          <cell r="P717">
            <v>380</v>
          </cell>
          <cell r="Q717">
            <v>380</v>
          </cell>
          <cell r="R717">
            <v>380</v>
          </cell>
          <cell r="S717">
            <v>380</v>
          </cell>
          <cell r="U717">
            <v>361</v>
          </cell>
          <cell r="V717">
            <v>342.95</v>
          </cell>
          <cell r="W717">
            <v>325.80249999999995</v>
          </cell>
        </row>
        <row r="718">
          <cell r="A718" t="str">
            <v>97#2</v>
          </cell>
          <cell r="C718">
            <v>400</v>
          </cell>
          <cell r="D718">
            <v>400</v>
          </cell>
          <cell r="E718">
            <v>400</v>
          </cell>
          <cell r="F718">
            <v>400</v>
          </cell>
          <cell r="G718">
            <v>400</v>
          </cell>
          <cell r="H718">
            <v>400</v>
          </cell>
          <cell r="I718">
            <v>400</v>
          </cell>
          <cell r="J718">
            <v>400</v>
          </cell>
          <cell r="K718">
            <v>400</v>
          </cell>
          <cell r="L718">
            <v>400</v>
          </cell>
          <cell r="M718">
            <v>400</v>
          </cell>
          <cell r="N718">
            <v>400</v>
          </cell>
          <cell r="P718">
            <v>380</v>
          </cell>
          <cell r="Q718">
            <v>380</v>
          </cell>
          <cell r="R718">
            <v>380</v>
          </cell>
          <cell r="S718">
            <v>380</v>
          </cell>
          <cell r="U718">
            <v>361</v>
          </cell>
          <cell r="V718">
            <v>342.95</v>
          </cell>
          <cell r="W718">
            <v>325.80249999999995</v>
          </cell>
        </row>
        <row r="719">
          <cell r="A719" t="str">
            <v>98#1</v>
          </cell>
          <cell r="C719">
            <v>400</v>
          </cell>
          <cell r="D719">
            <v>400</v>
          </cell>
          <cell r="E719">
            <v>400</v>
          </cell>
          <cell r="F719">
            <v>400</v>
          </cell>
          <cell r="G719">
            <v>400</v>
          </cell>
          <cell r="H719">
            <v>400</v>
          </cell>
          <cell r="I719">
            <v>400</v>
          </cell>
          <cell r="J719">
            <v>400</v>
          </cell>
          <cell r="K719">
            <v>400</v>
          </cell>
          <cell r="L719">
            <v>400</v>
          </cell>
          <cell r="M719">
            <v>400</v>
          </cell>
          <cell r="N719">
            <v>400</v>
          </cell>
          <cell r="P719">
            <v>380</v>
          </cell>
          <cell r="Q719">
            <v>380</v>
          </cell>
          <cell r="R719">
            <v>380</v>
          </cell>
          <cell r="S719">
            <v>380</v>
          </cell>
          <cell r="U719">
            <v>361</v>
          </cell>
          <cell r="V719">
            <v>342.95</v>
          </cell>
          <cell r="W719">
            <v>325.80249999999995</v>
          </cell>
        </row>
        <row r="720">
          <cell r="A720" t="str">
            <v>98#2</v>
          </cell>
          <cell r="C720">
            <v>400</v>
          </cell>
          <cell r="D720">
            <v>400</v>
          </cell>
          <cell r="E720">
            <v>400</v>
          </cell>
          <cell r="F720">
            <v>400</v>
          </cell>
          <cell r="G720">
            <v>400</v>
          </cell>
          <cell r="H720">
            <v>400</v>
          </cell>
          <cell r="I720">
            <v>400</v>
          </cell>
          <cell r="J720">
            <v>400</v>
          </cell>
          <cell r="K720">
            <v>400</v>
          </cell>
          <cell r="L720">
            <v>400</v>
          </cell>
          <cell r="M720">
            <v>400</v>
          </cell>
          <cell r="N720">
            <v>400</v>
          </cell>
          <cell r="P720">
            <v>380</v>
          </cell>
          <cell r="Q720">
            <v>380</v>
          </cell>
          <cell r="R720">
            <v>380</v>
          </cell>
          <cell r="S720">
            <v>380</v>
          </cell>
          <cell r="U720">
            <v>361</v>
          </cell>
          <cell r="V720">
            <v>342.95</v>
          </cell>
          <cell r="W720">
            <v>325.80249999999995</v>
          </cell>
        </row>
        <row r="721">
          <cell r="A721" t="str">
            <v>Mos</v>
          </cell>
        </row>
        <row r="722">
          <cell r="A722" t="str">
            <v>Con</v>
          </cell>
          <cell r="C722">
            <v>3000</v>
          </cell>
          <cell r="D722">
            <v>3000</v>
          </cell>
          <cell r="E722">
            <v>3000</v>
          </cell>
          <cell r="F722">
            <v>3000</v>
          </cell>
          <cell r="G722">
            <v>2900</v>
          </cell>
          <cell r="H722">
            <v>2900</v>
          </cell>
          <cell r="I722">
            <v>2900</v>
          </cell>
          <cell r="J722">
            <v>2800</v>
          </cell>
          <cell r="K722">
            <v>2800</v>
          </cell>
          <cell r="L722">
            <v>2800</v>
          </cell>
          <cell r="M722">
            <v>2800</v>
          </cell>
          <cell r="N722">
            <v>2800</v>
          </cell>
          <cell r="P722">
            <v>2660</v>
          </cell>
          <cell r="Q722">
            <v>2660</v>
          </cell>
          <cell r="R722">
            <v>2660</v>
          </cell>
          <cell r="S722">
            <v>2660</v>
          </cell>
          <cell r="U722">
            <v>2527</v>
          </cell>
          <cell r="V722">
            <v>2400.65</v>
          </cell>
          <cell r="W722">
            <v>2280.6174999999998</v>
          </cell>
        </row>
        <row r="724">
          <cell r="A724" t="str">
            <v>2-Wire Line Number of New Lines</v>
          </cell>
        </row>
        <row r="725">
          <cell r="B725">
            <v>35765</v>
          </cell>
          <cell r="C725">
            <v>35796</v>
          </cell>
          <cell r="D725">
            <v>35827</v>
          </cell>
          <cell r="E725">
            <v>35855</v>
          </cell>
          <cell r="F725">
            <v>35886</v>
          </cell>
          <cell r="G725">
            <v>35916</v>
          </cell>
          <cell r="H725">
            <v>35947</v>
          </cell>
          <cell r="I725">
            <v>35977</v>
          </cell>
          <cell r="J725">
            <v>36008</v>
          </cell>
          <cell r="K725">
            <v>36039</v>
          </cell>
          <cell r="L725">
            <v>36069</v>
          </cell>
          <cell r="M725">
            <v>36100</v>
          </cell>
          <cell r="N725">
            <v>36130</v>
          </cell>
          <cell r="O725" t="str">
            <v>Total 98</v>
          </cell>
          <cell r="P725" t="str">
            <v>Q1-99</v>
          </cell>
          <cell r="Q725" t="str">
            <v>Q2-99</v>
          </cell>
          <cell r="R725" t="str">
            <v>Q3-99</v>
          </cell>
          <cell r="S725" t="str">
            <v>Q4-99</v>
          </cell>
          <cell r="T725" t="str">
            <v>Total 99</v>
          </cell>
          <cell r="U725">
            <v>2000</v>
          </cell>
          <cell r="V725">
            <v>2001</v>
          </cell>
          <cell r="W725">
            <v>2002</v>
          </cell>
        </row>
        <row r="726">
          <cell r="A726" t="str">
            <v>Ark</v>
          </cell>
          <cell r="B726">
            <v>11.166666666666668</v>
          </cell>
          <cell r="C726">
            <v>0.7142857142857143</v>
          </cell>
          <cell r="D726">
            <v>0.7142857142857143</v>
          </cell>
          <cell r="E726">
            <v>0.7142857142857143</v>
          </cell>
          <cell r="F726">
            <v>2.2142857142857144</v>
          </cell>
          <cell r="G726">
            <v>0.7142857142857143</v>
          </cell>
          <cell r="H726">
            <v>1.2142857142857144</v>
          </cell>
          <cell r="I726">
            <v>0.7142857142857143</v>
          </cell>
          <cell r="J726">
            <v>0.7142857142857143</v>
          </cell>
          <cell r="K726">
            <v>0.7142857142857143</v>
          </cell>
          <cell r="L726">
            <v>2.2142857142857144</v>
          </cell>
          <cell r="M726">
            <v>1.2142857142857144</v>
          </cell>
          <cell r="N726">
            <v>0.7142857142857143</v>
          </cell>
          <cell r="O726">
            <v>12.571428571428571</v>
          </cell>
          <cell r="P726">
            <v>3.9571428571428573</v>
          </cell>
          <cell r="Q726">
            <v>3.3728571428571428</v>
          </cell>
          <cell r="R726">
            <v>3.9957857142857147</v>
          </cell>
          <cell r="S726">
            <v>5.7472535714285717</v>
          </cell>
          <cell r="T726">
            <v>17.073039285714287</v>
          </cell>
          <cell r="U726">
            <v>22.18299303571429</v>
          </cell>
          <cell r="V726">
            <v>28.252090946428581</v>
          </cell>
          <cell r="W726">
            <v>33.145319288392862</v>
          </cell>
        </row>
        <row r="727">
          <cell r="A727" t="str">
            <v>Eka</v>
          </cell>
          <cell r="B727">
            <v>24.5</v>
          </cell>
          <cell r="C727">
            <v>1.8571428571428572</v>
          </cell>
          <cell r="D727">
            <v>1</v>
          </cell>
          <cell r="E727">
            <v>2.4285714285714288</v>
          </cell>
          <cell r="F727">
            <v>2.2142857142857144</v>
          </cell>
          <cell r="G727">
            <v>0.7142857142857143</v>
          </cell>
          <cell r="H727">
            <v>2.7142857142857144</v>
          </cell>
          <cell r="I727">
            <v>1.4285714285714286</v>
          </cell>
          <cell r="J727">
            <v>2.9285714285714288</v>
          </cell>
          <cell r="K727">
            <v>1.7142857142857142</v>
          </cell>
          <cell r="L727">
            <v>3</v>
          </cell>
          <cell r="M727">
            <v>2</v>
          </cell>
          <cell r="N727">
            <v>1.9285714285714286</v>
          </cell>
          <cell r="O727">
            <v>23.928571428571431</v>
          </cell>
          <cell r="P727">
            <v>8.0500000000000007</v>
          </cell>
          <cell r="Q727">
            <v>9.8450000000000006</v>
          </cell>
          <cell r="R727">
            <v>10.109500000000001</v>
          </cell>
          <cell r="S727">
            <v>12.59</v>
          </cell>
          <cell r="T727">
            <v>40.594500000000004</v>
          </cell>
          <cell r="U727">
            <v>52.623367500000008</v>
          </cell>
          <cell r="V727">
            <v>66.652977750000005</v>
          </cell>
          <cell r="W727">
            <v>76.499822437500015</v>
          </cell>
        </row>
        <row r="728">
          <cell r="A728" t="str">
            <v>Irk</v>
          </cell>
          <cell r="B728">
            <v>20.5</v>
          </cell>
          <cell r="C728">
            <v>0.8571428571428571</v>
          </cell>
          <cell r="D728">
            <v>2.6428571428571428</v>
          </cell>
          <cell r="E728">
            <v>2.2857142857142856</v>
          </cell>
          <cell r="F728">
            <v>1.9285714285714286</v>
          </cell>
          <cell r="G728">
            <v>0.8571428571428571</v>
          </cell>
          <cell r="H728">
            <v>2.7142857142857144</v>
          </cell>
          <cell r="I728">
            <v>1.4285714285714286</v>
          </cell>
          <cell r="J728">
            <v>2.9285714285714288</v>
          </cell>
          <cell r="K728">
            <v>1.7142857142857142</v>
          </cell>
          <cell r="L728">
            <v>2</v>
          </cell>
          <cell r="M728">
            <v>2.6428571428571428</v>
          </cell>
          <cell r="N728">
            <v>1.1428571428571428</v>
          </cell>
          <cell r="O728">
            <v>23.142857142857142</v>
          </cell>
          <cell r="P728">
            <v>8.6714285714285708</v>
          </cell>
          <cell r="Q728">
            <v>9.5585714285714296</v>
          </cell>
          <cell r="R728">
            <v>10.959357142857144</v>
          </cell>
          <cell r="S728">
            <v>12.605360714285712</v>
          </cell>
          <cell r="T728">
            <v>41.794717857142857</v>
          </cell>
          <cell r="U728">
            <v>54.877259107142862</v>
          </cell>
          <cell r="V728">
            <v>70.168836839285717</v>
          </cell>
          <cell r="W728">
            <v>81.063949065178562</v>
          </cell>
        </row>
        <row r="729">
          <cell r="A729" t="str">
            <v>Kha</v>
          </cell>
          <cell r="B729">
            <v>14.5</v>
          </cell>
          <cell r="C729">
            <v>0.42857142857142855</v>
          </cell>
          <cell r="D729">
            <v>2.0714285714285712</v>
          </cell>
          <cell r="E729">
            <v>1.0714285714285714</v>
          </cell>
          <cell r="F729">
            <v>0.5714285714285714</v>
          </cell>
          <cell r="G729">
            <v>1.9285714285714286</v>
          </cell>
          <cell r="H729">
            <v>0.5714285714285714</v>
          </cell>
          <cell r="I729">
            <v>1.4285714285714286</v>
          </cell>
          <cell r="J729">
            <v>0.9285714285714286</v>
          </cell>
          <cell r="K729">
            <v>0.5714285714285714</v>
          </cell>
          <cell r="L729">
            <v>2.0714285714285712</v>
          </cell>
          <cell r="M729">
            <v>0.9285714285714286</v>
          </cell>
          <cell r="N729">
            <v>0.42857142857142855</v>
          </cell>
          <cell r="O729">
            <v>13</v>
          </cell>
          <cell r="P729">
            <v>3.3142857142857141</v>
          </cell>
          <cell r="Q729">
            <v>3.725714285714286</v>
          </cell>
          <cell r="R729">
            <v>4.3100714285714288</v>
          </cell>
          <cell r="S729">
            <v>5.034732142857143</v>
          </cell>
          <cell r="T729">
            <v>16.38480357142857</v>
          </cell>
          <cell r="U729">
            <v>20.481069821428573</v>
          </cell>
          <cell r="V729">
            <v>25.453790767857143</v>
          </cell>
          <cell r="W729">
            <v>30.112167433035712</v>
          </cell>
        </row>
        <row r="730">
          <cell r="A730" t="str">
            <v>Kra</v>
          </cell>
          <cell r="B730">
            <v>38.5</v>
          </cell>
          <cell r="C730">
            <v>1.8571428571428572</v>
          </cell>
          <cell r="D730">
            <v>1.6428571428571428</v>
          </cell>
          <cell r="E730">
            <v>1.9285714285714286</v>
          </cell>
          <cell r="F730">
            <v>2.9285714285714288</v>
          </cell>
          <cell r="G730">
            <v>0.8571428571428571</v>
          </cell>
          <cell r="H730">
            <v>2.2142857142857144</v>
          </cell>
          <cell r="I730">
            <v>2.4285714285714288</v>
          </cell>
          <cell r="J730">
            <v>2.2142857142857144</v>
          </cell>
          <cell r="K730">
            <v>2.2142857142857144</v>
          </cell>
          <cell r="L730">
            <v>2</v>
          </cell>
          <cell r="M730">
            <v>3.6428571428571428</v>
          </cell>
          <cell r="N730">
            <v>1.7857142857142858</v>
          </cell>
          <cell r="O730">
            <v>25.714285714285715</v>
          </cell>
          <cell r="P730">
            <v>8.2714285714285705</v>
          </cell>
          <cell r="Q730">
            <v>10.338571428571429</v>
          </cell>
          <cell r="R730">
            <v>11.973357142857143</v>
          </cell>
          <cell r="S730">
            <v>13.923560714285713</v>
          </cell>
          <cell r="T730">
            <v>44.506917857142852</v>
          </cell>
          <cell r="U730">
            <v>58.693119107142863</v>
          </cell>
          <cell r="V730">
            <v>75.422354839285717</v>
          </cell>
          <cell r="W730">
            <v>88.189351465178561</v>
          </cell>
        </row>
        <row r="731">
          <cell r="A731" t="str">
            <v>Niz</v>
          </cell>
          <cell r="B731">
            <v>28.833333333333332</v>
          </cell>
          <cell r="C731">
            <v>1</v>
          </cell>
          <cell r="D731">
            <v>2.6428571428571428</v>
          </cell>
          <cell r="E731">
            <v>1.4285714285714286</v>
          </cell>
          <cell r="F731">
            <v>2.4285714285714288</v>
          </cell>
          <cell r="G731">
            <v>0.8571428571428571</v>
          </cell>
          <cell r="H731">
            <v>1.4285714285714286</v>
          </cell>
          <cell r="I731">
            <v>3.2142857142857144</v>
          </cell>
          <cell r="J731">
            <v>1.7142857142857142</v>
          </cell>
          <cell r="K731">
            <v>3</v>
          </cell>
          <cell r="L731">
            <v>2</v>
          </cell>
          <cell r="M731">
            <v>2.5</v>
          </cell>
          <cell r="N731">
            <v>2.4285714285714288</v>
          </cell>
          <cell r="O731">
            <v>24.642857142857146</v>
          </cell>
          <cell r="P731">
            <v>7.0500000000000007</v>
          </cell>
          <cell r="Q731">
            <v>9.8450000000000006</v>
          </cell>
          <cell r="R731">
            <v>9.1095000000000006</v>
          </cell>
          <cell r="S731">
            <v>10.59</v>
          </cell>
          <cell r="T731">
            <v>36.594500000000004</v>
          </cell>
          <cell r="U731">
            <v>48.583367500000008</v>
          </cell>
          <cell r="V731">
            <v>62.572577750000008</v>
          </cell>
          <cell r="W731">
            <v>72.378618437500009</v>
          </cell>
        </row>
        <row r="732">
          <cell r="A732" t="str">
            <v>Nov</v>
          </cell>
          <cell r="B732">
            <v>27.833333333333332</v>
          </cell>
          <cell r="C732">
            <v>1.5714285714285714</v>
          </cell>
          <cell r="D732">
            <v>0.8571428571428571</v>
          </cell>
          <cell r="E732">
            <v>2.5</v>
          </cell>
          <cell r="F732">
            <v>1.6428571428571428</v>
          </cell>
          <cell r="G732">
            <v>0.8571428571428571</v>
          </cell>
          <cell r="H732">
            <v>2.1428571428571428</v>
          </cell>
          <cell r="I732">
            <v>1.5</v>
          </cell>
          <cell r="J732">
            <v>0.8571428571428571</v>
          </cell>
          <cell r="K732">
            <v>2.5</v>
          </cell>
          <cell r="L732">
            <v>1.1428571428571428</v>
          </cell>
          <cell r="M732">
            <v>2.6428571428571428</v>
          </cell>
          <cell r="N732">
            <v>1.1428571428571428</v>
          </cell>
          <cell r="O732">
            <v>19.357142857142858</v>
          </cell>
          <cell r="P732">
            <v>6.5214285714285722</v>
          </cell>
          <cell r="Q732">
            <v>6.1235714285714291</v>
          </cell>
          <cell r="R732">
            <v>7.0383571428571443</v>
          </cell>
          <cell r="S732">
            <v>8.1342357142857153</v>
          </cell>
          <cell r="T732">
            <v>27.817592857142863</v>
          </cell>
          <cell r="U732">
            <v>35.621737857142868</v>
          </cell>
          <cell r="V732">
            <v>44.843759214285726</v>
          </cell>
          <cell r="W732">
            <v>52.032556471428585</v>
          </cell>
        </row>
        <row r="733">
          <cell r="A733" t="str">
            <v>Syk</v>
          </cell>
          <cell r="B733">
            <v>20.166666666666664</v>
          </cell>
          <cell r="C733">
            <v>0.5714285714285714</v>
          </cell>
          <cell r="D733">
            <v>0.7142857142857143</v>
          </cell>
          <cell r="E733">
            <v>1</v>
          </cell>
          <cell r="F733">
            <v>2.1428571428571428</v>
          </cell>
          <cell r="G733">
            <v>0.5714285714285714</v>
          </cell>
          <cell r="H733">
            <v>1.1428571428571428</v>
          </cell>
          <cell r="I733">
            <v>1.3571428571428572</v>
          </cell>
          <cell r="J733">
            <v>0.7142857142857143</v>
          </cell>
          <cell r="K733">
            <v>1.1428571428571428</v>
          </cell>
          <cell r="L733">
            <v>1.1428571428571428</v>
          </cell>
          <cell r="M733">
            <v>1.1428571428571428</v>
          </cell>
          <cell r="N733">
            <v>2.2142857142857144</v>
          </cell>
          <cell r="O733">
            <v>13.857142857142854</v>
          </cell>
          <cell r="P733">
            <v>4.0714285714285721</v>
          </cell>
          <cell r="Q733">
            <v>5.53857142857143</v>
          </cell>
          <cell r="R733">
            <v>6.2778571428571439</v>
          </cell>
          <cell r="S733">
            <v>7.1455857142857155</v>
          </cell>
          <cell r="T733">
            <v>23.033442857142862</v>
          </cell>
          <cell r="U733">
            <v>29.982342857142868</v>
          </cell>
          <cell r="V733">
            <v>38.098345714285728</v>
          </cell>
          <cell r="W733">
            <v>43.855176921428587</v>
          </cell>
        </row>
        <row r="734">
          <cell r="A734" t="str">
            <v>Tyu</v>
          </cell>
          <cell r="B734">
            <v>29.333333333333332</v>
          </cell>
          <cell r="C734">
            <v>0.7142857142857143</v>
          </cell>
          <cell r="D734">
            <v>1.5</v>
          </cell>
          <cell r="E734">
            <v>2.4285714285714288</v>
          </cell>
          <cell r="F734">
            <v>1.4285714285714286</v>
          </cell>
          <cell r="G734">
            <v>0.7142857142857143</v>
          </cell>
          <cell r="H734">
            <v>2.2142857142857144</v>
          </cell>
          <cell r="I734">
            <v>2.2857142857142856</v>
          </cell>
          <cell r="J734">
            <v>1.2857142857142858</v>
          </cell>
          <cell r="K734">
            <v>2.4285714285714288</v>
          </cell>
          <cell r="L734">
            <v>2.2142857142857144</v>
          </cell>
          <cell r="M734">
            <v>1.7142857142857142</v>
          </cell>
          <cell r="N734">
            <v>1.2857142857142858</v>
          </cell>
          <cell r="O734">
            <v>20.214285714285715</v>
          </cell>
          <cell r="P734">
            <v>6.1071428571428577</v>
          </cell>
          <cell r="Q734">
            <v>7.8078571428571433</v>
          </cell>
          <cell r="R734">
            <v>8.9167857142857141</v>
          </cell>
          <cell r="S734">
            <v>10.218378571428572</v>
          </cell>
          <cell r="T734">
            <v>33.050164285714288</v>
          </cell>
          <cell r="U734">
            <v>43.458514285714287</v>
          </cell>
          <cell r="V734">
            <v>55.617368571428571</v>
          </cell>
          <cell r="W734">
            <v>64.237313882142857</v>
          </cell>
        </row>
        <row r="735">
          <cell r="A735" t="str">
            <v>Ufa</v>
          </cell>
          <cell r="B735">
            <v>19.5</v>
          </cell>
          <cell r="C735">
            <v>0.5714285714285714</v>
          </cell>
          <cell r="D735">
            <v>1.3571428571428572</v>
          </cell>
          <cell r="E735">
            <v>1</v>
          </cell>
          <cell r="F735">
            <v>2.1428571428571428</v>
          </cell>
          <cell r="G735">
            <v>1.2142857142857144</v>
          </cell>
          <cell r="H735">
            <v>1.1428571428571428</v>
          </cell>
          <cell r="I735">
            <v>0.8571428571428571</v>
          </cell>
          <cell r="J735">
            <v>1.3571428571428572</v>
          </cell>
          <cell r="K735">
            <v>2.2857142857142856</v>
          </cell>
          <cell r="L735">
            <v>1.2857142857142858</v>
          </cell>
          <cell r="M735">
            <v>1.4285714285714286</v>
          </cell>
          <cell r="N735">
            <v>0.7142857142857143</v>
          </cell>
          <cell r="O735">
            <v>15.357142857142859</v>
          </cell>
          <cell r="P735">
            <v>6.1642857142857146</v>
          </cell>
          <cell r="Q735">
            <v>5.7707142857142859</v>
          </cell>
          <cell r="R735">
            <v>7.7240714285714294</v>
          </cell>
          <cell r="S735">
            <v>8.8467571428571432</v>
          </cell>
          <cell r="T735">
            <v>28.505828571428573</v>
          </cell>
          <cell r="U735">
            <v>37.323661071428582</v>
          </cell>
          <cell r="V735">
            <v>47.642059392857163</v>
          </cell>
          <cell r="W735">
            <v>55.065708326785725</v>
          </cell>
        </row>
        <row r="736">
          <cell r="A736" t="str">
            <v>Vla</v>
          </cell>
          <cell r="B736">
            <v>56.333333333333336</v>
          </cell>
          <cell r="C736">
            <v>2.2857142857142856</v>
          </cell>
          <cell r="D736">
            <v>1.9285714285714286</v>
          </cell>
          <cell r="E736">
            <v>2.7142857142857144</v>
          </cell>
          <cell r="F736">
            <v>1.4285714285714286</v>
          </cell>
          <cell r="G736">
            <v>1.9285714285714286</v>
          </cell>
          <cell r="H736">
            <v>2.7142857142857144</v>
          </cell>
          <cell r="I736">
            <v>1.4285714285714286</v>
          </cell>
          <cell r="J736">
            <v>1.6428571428571428</v>
          </cell>
          <cell r="K736">
            <v>1.5714285714285714</v>
          </cell>
          <cell r="L736">
            <v>3</v>
          </cell>
          <cell r="M736">
            <v>2.5</v>
          </cell>
          <cell r="N736">
            <v>2</v>
          </cell>
          <cell r="O736">
            <v>25.142857142857146</v>
          </cell>
          <cell r="P736">
            <v>8.2000000000000011</v>
          </cell>
          <cell r="Q736">
            <v>9.0400000000000009</v>
          </cell>
          <cell r="R736">
            <v>11.363</v>
          </cell>
          <cell r="S736">
            <v>11.919550000000001</v>
          </cell>
          <cell r="T736">
            <v>40.522550000000003</v>
          </cell>
          <cell r="U736">
            <v>52.819832500000004</v>
          </cell>
          <cell r="V736">
            <v>67.201282250000006</v>
          </cell>
          <cell r="W736">
            <v>77.508447287500019</v>
          </cell>
        </row>
        <row r="737">
          <cell r="A737" t="str">
            <v>Vol</v>
          </cell>
          <cell r="B737">
            <v>9</v>
          </cell>
          <cell r="C737">
            <v>1.0714285714285714</v>
          </cell>
          <cell r="D737">
            <v>0.8571428571428571</v>
          </cell>
          <cell r="E737">
            <v>1.1428571428571428</v>
          </cell>
          <cell r="F737">
            <v>1.1428571428571428</v>
          </cell>
          <cell r="G737">
            <v>0.7142857142857143</v>
          </cell>
          <cell r="H737">
            <v>1.2857142857142858</v>
          </cell>
          <cell r="I737">
            <v>1</v>
          </cell>
          <cell r="J737">
            <v>1.8571428571428572</v>
          </cell>
          <cell r="K737">
            <v>1.6428571428571428</v>
          </cell>
          <cell r="L737">
            <v>1.4285714285714286</v>
          </cell>
          <cell r="M737">
            <v>2.4285714285714288</v>
          </cell>
          <cell r="N737">
            <v>1.1428571428571428</v>
          </cell>
          <cell r="O737">
            <v>15.714285714285714</v>
          </cell>
          <cell r="P737">
            <v>5.0142857142857142</v>
          </cell>
          <cell r="Q737">
            <v>6.5757142857142856</v>
          </cell>
          <cell r="R737">
            <v>6.4705714285714286</v>
          </cell>
          <cell r="S737">
            <v>8.5172071428571439</v>
          </cell>
          <cell r="T737">
            <v>26.577778571428574</v>
          </cell>
          <cell r="U737">
            <v>35.107196071428582</v>
          </cell>
          <cell r="V737">
            <v>45.053554892857157</v>
          </cell>
          <cell r="W737">
            <v>51.996481476785725</v>
          </cell>
        </row>
        <row r="738">
          <cell r="A738" t="str">
            <v>Vor</v>
          </cell>
          <cell r="B738">
            <v>13.666666666666666</v>
          </cell>
          <cell r="C738">
            <v>0.7142857142857143</v>
          </cell>
          <cell r="D738">
            <v>0.8571428571428571</v>
          </cell>
          <cell r="E738">
            <v>1</v>
          </cell>
          <cell r="F738">
            <v>2.1428571428571428</v>
          </cell>
          <cell r="G738">
            <v>0.7142857142857143</v>
          </cell>
          <cell r="H738">
            <v>0.8571428571428571</v>
          </cell>
          <cell r="I738">
            <v>1.5</v>
          </cell>
          <cell r="J738">
            <v>0.7142857142857143</v>
          </cell>
          <cell r="K738">
            <v>1.1428571428571428</v>
          </cell>
          <cell r="L738">
            <v>2.2857142857142856</v>
          </cell>
          <cell r="M738">
            <v>1.4285714285714286</v>
          </cell>
          <cell r="N738">
            <v>0.8571428571428571</v>
          </cell>
          <cell r="O738">
            <v>14.214285714285714</v>
          </cell>
          <cell r="P738">
            <v>5.8642857142857139</v>
          </cell>
          <cell r="Q738">
            <v>5.3807142857142862</v>
          </cell>
          <cell r="R738">
            <v>7.2170714285714288</v>
          </cell>
          <cell r="S738">
            <v>7.1876571428571436</v>
          </cell>
          <cell r="T738">
            <v>25.649728571428575</v>
          </cell>
          <cell r="U738">
            <v>33.900731071428581</v>
          </cell>
          <cell r="V738">
            <v>43.485150392857157</v>
          </cell>
          <cell r="W738">
            <v>49.957555626785727</v>
          </cell>
        </row>
        <row r="739">
          <cell r="A739" t="str">
            <v>97#1</v>
          </cell>
          <cell r="B739">
            <v>0</v>
          </cell>
          <cell r="C739">
            <v>0</v>
          </cell>
          <cell r="D739">
            <v>0</v>
          </cell>
          <cell r="E739">
            <v>0.14285714285714285</v>
          </cell>
          <cell r="F739">
            <v>0.9285714285714286</v>
          </cell>
          <cell r="G739">
            <v>1.4285714285714286</v>
          </cell>
          <cell r="H739">
            <v>0.5714285714285714</v>
          </cell>
          <cell r="I739">
            <v>1.0714285714285714</v>
          </cell>
          <cell r="J739">
            <v>1.7142857142857144</v>
          </cell>
          <cell r="K739">
            <v>1.2142857142857144</v>
          </cell>
          <cell r="L739">
            <v>0.7142857142857143</v>
          </cell>
          <cell r="M739">
            <v>1.3571428571428572</v>
          </cell>
          <cell r="N739">
            <v>0.8571428571428571</v>
          </cell>
          <cell r="O739">
            <v>10</v>
          </cell>
          <cell r="P739">
            <v>4.4285714285714288</v>
          </cell>
          <cell r="Q739">
            <v>5.8914285714285715</v>
          </cell>
          <cell r="R739">
            <v>5.5921428571428571</v>
          </cell>
          <cell r="S739">
            <v>5.4330642857142859</v>
          </cell>
          <cell r="T739">
            <v>21.345207142857141</v>
          </cell>
          <cell r="U739">
            <v>27.270419642857146</v>
          </cell>
          <cell r="V739">
            <v>34.27994553571429</v>
          </cell>
          <cell r="W739">
            <v>39.791724066071424</v>
          </cell>
        </row>
        <row r="740">
          <cell r="A740" t="str">
            <v>97#2</v>
          </cell>
          <cell r="B740">
            <v>0</v>
          </cell>
          <cell r="C740">
            <v>1</v>
          </cell>
          <cell r="D740">
            <v>0</v>
          </cell>
          <cell r="E740">
            <v>0</v>
          </cell>
          <cell r="F740">
            <v>0.14285714285714285</v>
          </cell>
          <cell r="G740">
            <v>0.42857142857142855</v>
          </cell>
          <cell r="H740">
            <v>0.9285714285714286</v>
          </cell>
          <cell r="I740">
            <v>1.5714285714285714</v>
          </cell>
          <cell r="J740">
            <v>0.7142857142857143</v>
          </cell>
          <cell r="K740">
            <v>0.7142857142857143</v>
          </cell>
          <cell r="L740">
            <v>0.8571428571428571</v>
          </cell>
          <cell r="M740">
            <v>0.8571428571428571</v>
          </cell>
          <cell r="N740">
            <v>0.7142857142857143</v>
          </cell>
          <cell r="O740">
            <v>7.9285714285714279</v>
          </cell>
          <cell r="P740">
            <v>2.9785714285714286</v>
          </cell>
          <cell r="Q740">
            <v>4.3064285714285715</v>
          </cell>
          <cell r="R740">
            <v>4.8316428571428576</v>
          </cell>
          <cell r="S740">
            <v>5.4444142857142861</v>
          </cell>
          <cell r="T740">
            <v>17.561057142857145</v>
          </cell>
          <cell r="U740">
            <v>22.641024642857147</v>
          </cell>
          <cell r="V740">
            <v>28.554632035714288</v>
          </cell>
          <cell r="W740">
            <v>32.644645516071428</v>
          </cell>
        </row>
        <row r="741">
          <cell r="A741" t="str">
            <v>98#1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1.9285714285714286</v>
          </cell>
          <cell r="M741">
            <v>0.7142857142857143</v>
          </cell>
          <cell r="N741">
            <v>0.5714285714285714</v>
          </cell>
          <cell r="O741">
            <v>3.2142857142857144</v>
          </cell>
          <cell r="P741">
            <v>3.5071428571428571</v>
          </cell>
          <cell r="Q741">
            <v>3.7878571428571428</v>
          </cell>
          <cell r="R741">
            <v>4.2352857142857143</v>
          </cell>
          <cell r="S741">
            <v>4.7586035714285719</v>
          </cell>
          <cell r="T741">
            <v>16.288889285714287</v>
          </cell>
          <cell r="U741">
            <v>20.583598035714289</v>
          </cell>
          <cell r="V741">
            <v>25.58707744642858</v>
          </cell>
          <cell r="W741">
            <v>29.089143738392863</v>
          </cell>
        </row>
        <row r="742">
          <cell r="A742" t="str">
            <v>98#2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0.5</v>
          </cell>
          <cell r="N742">
            <v>1.7142857142857144</v>
          </cell>
          <cell r="O742">
            <v>2.2142857142857144</v>
          </cell>
          <cell r="P742">
            <v>2.2928571428571427</v>
          </cell>
          <cell r="Q742">
            <v>4.552142857142857</v>
          </cell>
          <cell r="R742">
            <v>2.9642142857142852</v>
          </cell>
          <cell r="S742">
            <v>4.4468714285714279</v>
          </cell>
          <cell r="T742">
            <v>14.256085714285714</v>
          </cell>
          <cell r="U742">
            <v>18.179313214285713</v>
          </cell>
          <cell r="V742">
            <v>22.754407178571427</v>
          </cell>
          <cell r="W742">
            <v>25.974386930357142</v>
          </cell>
        </row>
        <row r="743">
          <cell r="A743" t="str">
            <v>Mos</v>
          </cell>
        </row>
        <row r="744">
          <cell r="A744" t="str">
            <v>Con</v>
          </cell>
          <cell r="B744">
            <v>313.83333333333337</v>
          </cell>
          <cell r="C744">
            <v>15.214285714285712</v>
          </cell>
          <cell r="D744">
            <v>18.785714285714285</v>
          </cell>
          <cell r="E744">
            <v>21.785714285714285</v>
          </cell>
          <cell r="F744">
            <v>25.428571428571423</v>
          </cell>
          <cell r="G744">
            <v>14.499999999999998</v>
          </cell>
          <cell r="H744">
            <v>23.857142857142858</v>
          </cell>
          <cell r="I744">
            <v>23.214285714285715</v>
          </cell>
          <cell r="J744">
            <v>22.285714285714292</v>
          </cell>
          <cell r="K744">
            <v>24.571428571428573</v>
          </cell>
          <cell r="L744">
            <v>29.285714285714281</v>
          </cell>
          <cell r="M744">
            <v>29.642857142857142</v>
          </cell>
          <cell r="N744">
            <v>21.642857142857146</v>
          </cell>
          <cell r="O744">
            <v>270.21428571428572</v>
          </cell>
          <cell r="P744">
            <v>94.464285714285722</v>
          </cell>
          <cell r="Q744">
            <v>111.46071428571432</v>
          </cell>
          <cell r="R744">
            <v>123.08857142857144</v>
          </cell>
          <cell r="S744">
            <v>142.54323214285716</v>
          </cell>
          <cell r="T744">
            <v>471.55680357142865</v>
          </cell>
          <cell r="U744">
            <v>614.32954732142878</v>
          </cell>
          <cell r="V744">
            <v>781.64021151785721</v>
          </cell>
          <cell r="W744">
            <v>903.54236837053588</v>
          </cell>
        </row>
        <row r="746">
          <cell r="A746" t="str">
            <v>2-Wire Line one-time</v>
          </cell>
        </row>
        <row r="747">
          <cell r="B747">
            <v>35765</v>
          </cell>
          <cell r="C747">
            <v>35796</v>
          </cell>
          <cell r="D747">
            <v>35827</v>
          </cell>
          <cell r="E747">
            <v>35855</v>
          </cell>
          <cell r="F747">
            <v>35886</v>
          </cell>
          <cell r="G747">
            <v>35916</v>
          </cell>
          <cell r="H747">
            <v>35947</v>
          </cell>
          <cell r="I747">
            <v>35977</v>
          </cell>
          <cell r="J747">
            <v>36008</v>
          </cell>
          <cell r="K747">
            <v>36039</v>
          </cell>
          <cell r="L747">
            <v>36069</v>
          </cell>
          <cell r="M747">
            <v>36100</v>
          </cell>
          <cell r="N747">
            <v>36130</v>
          </cell>
          <cell r="O747" t="str">
            <v>Total 98</v>
          </cell>
          <cell r="P747" t="str">
            <v>Q1-99</v>
          </cell>
          <cell r="Q747" t="str">
            <v>Q2-99</v>
          </cell>
          <cell r="R747" t="str">
            <v>Q3-99</v>
          </cell>
          <cell r="S747" t="str">
            <v>Q4-99</v>
          </cell>
          <cell r="T747" t="str">
            <v>Total 99</v>
          </cell>
          <cell r="U747">
            <v>2000</v>
          </cell>
          <cell r="V747">
            <v>2001</v>
          </cell>
          <cell r="W747">
            <v>2002</v>
          </cell>
        </row>
        <row r="748">
          <cell r="A748" t="str">
            <v>Ark</v>
          </cell>
          <cell r="B748">
            <v>400</v>
          </cell>
          <cell r="C748">
            <v>400</v>
          </cell>
          <cell r="D748">
            <v>400</v>
          </cell>
          <cell r="E748">
            <v>400</v>
          </cell>
          <cell r="F748">
            <v>400</v>
          </cell>
          <cell r="G748">
            <v>400</v>
          </cell>
          <cell r="H748">
            <v>400</v>
          </cell>
          <cell r="I748">
            <v>400</v>
          </cell>
          <cell r="J748">
            <v>400</v>
          </cell>
          <cell r="K748">
            <v>400</v>
          </cell>
          <cell r="L748">
            <v>400</v>
          </cell>
          <cell r="M748">
            <v>400</v>
          </cell>
          <cell r="N748">
            <v>400</v>
          </cell>
          <cell r="O748">
            <v>400</v>
          </cell>
          <cell r="P748">
            <v>400</v>
          </cell>
          <cell r="Q748">
            <v>400</v>
          </cell>
          <cell r="R748">
            <v>400</v>
          </cell>
          <cell r="S748">
            <v>400</v>
          </cell>
          <cell r="T748">
            <v>400</v>
          </cell>
          <cell r="U748">
            <v>400</v>
          </cell>
          <cell r="V748">
            <v>400</v>
          </cell>
          <cell r="W748">
            <v>400</v>
          </cell>
        </row>
        <row r="749">
          <cell r="A749" t="str">
            <v>Eka</v>
          </cell>
          <cell r="B749">
            <v>600</v>
          </cell>
          <cell r="C749">
            <v>600</v>
          </cell>
          <cell r="D749">
            <v>600</v>
          </cell>
          <cell r="E749">
            <v>600</v>
          </cell>
          <cell r="F749">
            <v>600</v>
          </cell>
          <cell r="G749">
            <v>600</v>
          </cell>
          <cell r="H749">
            <v>600</v>
          </cell>
          <cell r="I749">
            <v>600</v>
          </cell>
          <cell r="J749">
            <v>600</v>
          </cell>
          <cell r="K749">
            <v>600</v>
          </cell>
          <cell r="L749">
            <v>600</v>
          </cell>
          <cell r="M749">
            <v>600</v>
          </cell>
          <cell r="N749">
            <v>600</v>
          </cell>
          <cell r="O749">
            <v>600</v>
          </cell>
          <cell r="P749">
            <v>600</v>
          </cell>
          <cell r="Q749">
            <v>600</v>
          </cell>
          <cell r="R749">
            <v>600</v>
          </cell>
          <cell r="S749">
            <v>600</v>
          </cell>
          <cell r="T749">
            <v>600</v>
          </cell>
          <cell r="U749">
            <v>600</v>
          </cell>
          <cell r="V749">
            <v>600</v>
          </cell>
          <cell r="W749">
            <v>600</v>
          </cell>
        </row>
        <row r="750">
          <cell r="A750" t="str">
            <v>Irk</v>
          </cell>
          <cell r="B750">
            <v>600</v>
          </cell>
          <cell r="C750">
            <v>600</v>
          </cell>
          <cell r="D750">
            <v>600</v>
          </cell>
          <cell r="E750">
            <v>600</v>
          </cell>
          <cell r="F750">
            <v>600</v>
          </cell>
          <cell r="G750">
            <v>600</v>
          </cell>
          <cell r="H750">
            <v>600</v>
          </cell>
          <cell r="I750">
            <v>600</v>
          </cell>
          <cell r="J750">
            <v>600</v>
          </cell>
          <cell r="K750">
            <v>600</v>
          </cell>
          <cell r="L750">
            <v>600</v>
          </cell>
          <cell r="M750">
            <v>600</v>
          </cell>
          <cell r="N750">
            <v>600</v>
          </cell>
          <cell r="O750">
            <v>600</v>
          </cell>
          <cell r="P750">
            <v>600</v>
          </cell>
          <cell r="Q750">
            <v>600</v>
          </cell>
          <cell r="R750">
            <v>600</v>
          </cell>
          <cell r="S750">
            <v>600</v>
          </cell>
          <cell r="T750">
            <v>600</v>
          </cell>
          <cell r="U750">
            <v>600</v>
          </cell>
          <cell r="V750">
            <v>600</v>
          </cell>
          <cell r="W750">
            <v>600</v>
          </cell>
        </row>
        <row r="751">
          <cell r="A751" t="str">
            <v>Kha</v>
          </cell>
          <cell r="B751">
            <v>1490</v>
          </cell>
          <cell r="C751">
            <v>1490</v>
          </cell>
          <cell r="D751">
            <v>1490</v>
          </cell>
          <cell r="E751">
            <v>1490</v>
          </cell>
          <cell r="F751">
            <v>1490</v>
          </cell>
          <cell r="G751">
            <v>1490</v>
          </cell>
          <cell r="H751">
            <v>1490</v>
          </cell>
          <cell r="I751">
            <v>1490</v>
          </cell>
          <cell r="J751">
            <v>1490</v>
          </cell>
          <cell r="K751">
            <v>1490</v>
          </cell>
          <cell r="L751">
            <v>1490</v>
          </cell>
          <cell r="M751">
            <v>1490</v>
          </cell>
          <cell r="N751">
            <v>1490</v>
          </cell>
          <cell r="O751">
            <v>1490</v>
          </cell>
          <cell r="P751">
            <v>1490</v>
          </cell>
          <cell r="Q751">
            <v>1490</v>
          </cell>
          <cell r="R751">
            <v>1490</v>
          </cell>
          <cell r="S751">
            <v>1490</v>
          </cell>
          <cell r="T751">
            <v>1490</v>
          </cell>
          <cell r="U751">
            <v>1490</v>
          </cell>
          <cell r="V751">
            <v>1490</v>
          </cell>
          <cell r="W751">
            <v>1490</v>
          </cell>
        </row>
        <row r="752">
          <cell r="A752" t="str">
            <v>Kra</v>
          </cell>
          <cell r="B752">
            <v>1000</v>
          </cell>
          <cell r="C752">
            <v>1000</v>
          </cell>
          <cell r="D752">
            <v>1000</v>
          </cell>
          <cell r="E752">
            <v>1000</v>
          </cell>
          <cell r="F752">
            <v>1000</v>
          </cell>
          <cell r="G752">
            <v>1000</v>
          </cell>
          <cell r="H752">
            <v>1000</v>
          </cell>
          <cell r="I752">
            <v>1000</v>
          </cell>
          <cell r="J752">
            <v>1000</v>
          </cell>
          <cell r="K752">
            <v>1000</v>
          </cell>
          <cell r="L752">
            <v>1000</v>
          </cell>
          <cell r="M752">
            <v>1000</v>
          </cell>
          <cell r="N752">
            <v>1000</v>
          </cell>
          <cell r="O752">
            <v>1000</v>
          </cell>
          <cell r="P752">
            <v>1000</v>
          </cell>
          <cell r="Q752">
            <v>1000</v>
          </cell>
          <cell r="R752">
            <v>1000</v>
          </cell>
          <cell r="S752">
            <v>1000</v>
          </cell>
          <cell r="T752">
            <v>1000</v>
          </cell>
          <cell r="U752">
            <v>1000</v>
          </cell>
          <cell r="V752">
            <v>1000</v>
          </cell>
          <cell r="W752">
            <v>1000</v>
          </cell>
        </row>
        <row r="753">
          <cell r="A753" t="str">
            <v>Niz</v>
          </cell>
          <cell r="B753">
            <v>1000</v>
          </cell>
          <cell r="C753">
            <v>1000</v>
          </cell>
          <cell r="D753">
            <v>1000</v>
          </cell>
          <cell r="E753">
            <v>1000</v>
          </cell>
          <cell r="F753">
            <v>1000</v>
          </cell>
          <cell r="G753">
            <v>1000</v>
          </cell>
          <cell r="H753">
            <v>1000</v>
          </cell>
          <cell r="I753">
            <v>1000</v>
          </cell>
          <cell r="J753">
            <v>1000</v>
          </cell>
          <cell r="K753">
            <v>1000</v>
          </cell>
          <cell r="L753">
            <v>1000</v>
          </cell>
          <cell r="M753">
            <v>1000</v>
          </cell>
          <cell r="N753">
            <v>1000</v>
          </cell>
          <cell r="O753">
            <v>1000</v>
          </cell>
          <cell r="P753">
            <v>1000</v>
          </cell>
          <cell r="Q753">
            <v>1000</v>
          </cell>
          <cell r="R753">
            <v>1000</v>
          </cell>
          <cell r="S753">
            <v>1000</v>
          </cell>
          <cell r="T753">
            <v>1000</v>
          </cell>
          <cell r="U753">
            <v>1000</v>
          </cell>
          <cell r="V753">
            <v>1000</v>
          </cell>
          <cell r="W753">
            <v>1000</v>
          </cell>
        </row>
        <row r="754">
          <cell r="A754" t="str">
            <v>Nov</v>
          </cell>
          <cell r="B754">
            <v>1300</v>
          </cell>
          <cell r="C754">
            <v>1300</v>
          </cell>
          <cell r="D754">
            <v>1300</v>
          </cell>
          <cell r="E754">
            <v>1300</v>
          </cell>
          <cell r="F754">
            <v>1300</v>
          </cell>
          <cell r="G754">
            <v>1300</v>
          </cell>
          <cell r="H754">
            <v>1300</v>
          </cell>
          <cell r="I754">
            <v>1300</v>
          </cell>
          <cell r="J754">
            <v>1300</v>
          </cell>
          <cell r="K754">
            <v>1300</v>
          </cell>
          <cell r="L754">
            <v>1300</v>
          </cell>
          <cell r="M754">
            <v>1300</v>
          </cell>
          <cell r="N754">
            <v>1300</v>
          </cell>
          <cell r="O754">
            <v>1300</v>
          </cell>
          <cell r="P754">
            <v>1300</v>
          </cell>
          <cell r="Q754">
            <v>1300</v>
          </cell>
          <cell r="R754">
            <v>1300</v>
          </cell>
          <cell r="S754">
            <v>1300</v>
          </cell>
          <cell r="T754">
            <v>1300</v>
          </cell>
          <cell r="U754">
            <v>1300</v>
          </cell>
          <cell r="V754">
            <v>1300</v>
          </cell>
          <cell r="W754">
            <v>1300</v>
          </cell>
        </row>
        <row r="755">
          <cell r="A755" t="str">
            <v>Syk</v>
          </cell>
          <cell r="B755">
            <v>1000</v>
          </cell>
          <cell r="C755">
            <v>1000</v>
          </cell>
          <cell r="D755">
            <v>1000</v>
          </cell>
          <cell r="E755">
            <v>1000</v>
          </cell>
          <cell r="F755">
            <v>1000</v>
          </cell>
          <cell r="G755">
            <v>1000</v>
          </cell>
          <cell r="H755">
            <v>1000</v>
          </cell>
          <cell r="I755">
            <v>1000</v>
          </cell>
          <cell r="J755">
            <v>1000</v>
          </cell>
          <cell r="K755">
            <v>1000</v>
          </cell>
          <cell r="L755">
            <v>1000</v>
          </cell>
          <cell r="M755">
            <v>1000</v>
          </cell>
          <cell r="N755">
            <v>1000</v>
          </cell>
          <cell r="O755">
            <v>1000</v>
          </cell>
          <cell r="P755">
            <v>1000</v>
          </cell>
          <cell r="Q755">
            <v>1000</v>
          </cell>
          <cell r="R755">
            <v>1000</v>
          </cell>
          <cell r="S755">
            <v>1000</v>
          </cell>
          <cell r="T755">
            <v>1000</v>
          </cell>
          <cell r="U755">
            <v>1000</v>
          </cell>
          <cell r="V755">
            <v>1000</v>
          </cell>
          <cell r="W755">
            <v>1000</v>
          </cell>
        </row>
        <row r="756">
          <cell r="A756" t="str">
            <v>Tyu</v>
          </cell>
          <cell r="B756">
            <v>1000</v>
          </cell>
          <cell r="C756">
            <v>1000</v>
          </cell>
          <cell r="D756">
            <v>1000</v>
          </cell>
          <cell r="E756">
            <v>1000</v>
          </cell>
          <cell r="F756">
            <v>1000</v>
          </cell>
          <cell r="G756">
            <v>1000</v>
          </cell>
          <cell r="H756">
            <v>1000</v>
          </cell>
          <cell r="I756">
            <v>1000</v>
          </cell>
          <cell r="J756">
            <v>1000</v>
          </cell>
          <cell r="K756">
            <v>1000</v>
          </cell>
          <cell r="L756">
            <v>1000</v>
          </cell>
          <cell r="M756">
            <v>1000</v>
          </cell>
          <cell r="N756">
            <v>1000</v>
          </cell>
          <cell r="O756">
            <v>1000</v>
          </cell>
          <cell r="P756">
            <v>1000</v>
          </cell>
          <cell r="Q756">
            <v>1000</v>
          </cell>
          <cell r="R756">
            <v>1000</v>
          </cell>
          <cell r="S756">
            <v>1000</v>
          </cell>
          <cell r="T756">
            <v>1000</v>
          </cell>
          <cell r="U756">
            <v>1000</v>
          </cell>
          <cell r="V756">
            <v>1000</v>
          </cell>
          <cell r="W756">
            <v>1000</v>
          </cell>
        </row>
        <row r="757">
          <cell r="A757" t="str">
            <v>Ufa</v>
          </cell>
          <cell r="B757">
            <v>1250</v>
          </cell>
          <cell r="C757">
            <v>1250</v>
          </cell>
          <cell r="D757">
            <v>1250</v>
          </cell>
          <cell r="E757">
            <v>1250</v>
          </cell>
          <cell r="F757">
            <v>1250</v>
          </cell>
          <cell r="G757">
            <v>1250</v>
          </cell>
          <cell r="H757">
            <v>1250</v>
          </cell>
          <cell r="I757">
            <v>1250</v>
          </cell>
          <cell r="J757">
            <v>1250</v>
          </cell>
          <cell r="K757">
            <v>1250</v>
          </cell>
          <cell r="L757">
            <v>1250</v>
          </cell>
          <cell r="M757">
            <v>1250</v>
          </cell>
          <cell r="N757">
            <v>1250</v>
          </cell>
          <cell r="O757">
            <v>1250</v>
          </cell>
          <cell r="P757">
            <v>1250</v>
          </cell>
          <cell r="Q757">
            <v>1250</v>
          </cell>
          <cell r="R757">
            <v>1250</v>
          </cell>
          <cell r="S757">
            <v>1250</v>
          </cell>
          <cell r="T757">
            <v>1250</v>
          </cell>
          <cell r="U757">
            <v>1250</v>
          </cell>
          <cell r="V757">
            <v>1250</v>
          </cell>
          <cell r="W757">
            <v>1250</v>
          </cell>
        </row>
        <row r="758">
          <cell r="A758" t="str">
            <v>Vla</v>
          </cell>
          <cell r="B758">
            <v>1250</v>
          </cell>
          <cell r="C758">
            <v>1250</v>
          </cell>
          <cell r="D758">
            <v>1250</v>
          </cell>
          <cell r="E758">
            <v>1250</v>
          </cell>
          <cell r="F758">
            <v>1250</v>
          </cell>
          <cell r="G758">
            <v>1250</v>
          </cell>
          <cell r="H758">
            <v>1250</v>
          </cell>
          <cell r="I758">
            <v>1250</v>
          </cell>
          <cell r="J758">
            <v>1250</v>
          </cell>
          <cell r="K758">
            <v>1250</v>
          </cell>
          <cell r="L758">
            <v>1250</v>
          </cell>
          <cell r="M758">
            <v>1250</v>
          </cell>
          <cell r="N758">
            <v>1250</v>
          </cell>
          <cell r="O758">
            <v>1250</v>
          </cell>
          <cell r="P758">
            <v>1250</v>
          </cell>
          <cell r="Q758">
            <v>1250</v>
          </cell>
          <cell r="R758">
            <v>1250</v>
          </cell>
          <cell r="S758">
            <v>1250</v>
          </cell>
          <cell r="T758">
            <v>1250</v>
          </cell>
          <cell r="U758">
            <v>1250</v>
          </cell>
          <cell r="V758">
            <v>1250</v>
          </cell>
          <cell r="W758">
            <v>1250</v>
          </cell>
        </row>
        <row r="759">
          <cell r="A759" t="str">
            <v>Vol</v>
          </cell>
          <cell r="B759">
            <v>1250</v>
          </cell>
          <cell r="C759">
            <v>1250</v>
          </cell>
          <cell r="D759">
            <v>1250</v>
          </cell>
          <cell r="E759">
            <v>1250</v>
          </cell>
          <cell r="F759">
            <v>1250</v>
          </cell>
          <cell r="G759">
            <v>1250</v>
          </cell>
          <cell r="H759">
            <v>1250</v>
          </cell>
          <cell r="I759">
            <v>1250</v>
          </cell>
          <cell r="J759">
            <v>1250</v>
          </cell>
          <cell r="K759">
            <v>1250</v>
          </cell>
          <cell r="L759">
            <v>1250</v>
          </cell>
          <cell r="M759">
            <v>1250</v>
          </cell>
          <cell r="N759">
            <v>1250</v>
          </cell>
          <cell r="O759">
            <v>1250</v>
          </cell>
          <cell r="P759">
            <v>1250</v>
          </cell>
          <cell r="Q759">
            <v>1250</v>
          </cell>
          <cell r="R759">
            <v>1250</v>
          </cell>
          <cell r="S759">
            <v>1250</v>
          </cell>
          <cell r="T759">
            <v>1250</v>
          </cell>
          <cell r="U759">
            <v>1250</v>
          </cell>
          <cell r="V759">
            <v>1250</v>
          </cell>
          <cell r="W759">
            <v>1250</v>
          </cell>
        </row>
        <row r="760">
          <cell r="A760" t="str">
            <v>Vor</v>
          </cell>
          <cell r="B760">
            <v>1000</v>
          </cell>
          <cell r="C760">
            <v>1000</v>
          </cell>
          <cell r="D760">
            <v>1000</v>
          </cell>
          <cell r="E760">
            <v>1000</v>
          </cell>
          <cell r="F760">
            <v>1000</v>
          </cell>
          <cell r="G760">
            <v>1000</v>
          </cell>
          <cell r="H760">
            <v>1000</v>
          </cell>
          <cell r="I760">
            <v>1000</v>
          </cell>
          <cell r="J760">
            <v>1000</v>
          </cell>
          <cell r="K760">
            <v>1000</v>
          </cell>
          <cell r="L760">
            <v>1000</v>
          </cell>
          <cell r="M760">
            <v>1000</v>
          </cell>
          <cell r="N760">
            <v>1000</v>
          </cell>
          <cell r="O760">
            <v>1000</v>
          </cell>
          <cell r="P760">
            <v>1000</v>
          </cell>
          <cell r="Q760">
            <v>1000</v>
          </cell>
          <cell r="R760">
            <v>1000</v>
          </cell>
          <cell r="S760">
            <v>1000</v>
          </cell>
          <cell r="T760">
            <v>1000</v>
          </cell>
          <cell r="U760">
            <v>1000</v>
          </cell>
          <cell r="V760">
            <v>1000</v>
          </cell>
          <cell r="W760">
            <v>1000</v>
          </cell>
        </row>
        <row r="761">
          <cell r="A761" t="str">
            <v>97#1</v>
          </cell>
          <cell r="B761">
            <v>600</v>
          </cell>
          <cell r="C761">
            <v>600</v>
          </cell>
          <cell r="D761">
            <v>600</v>
          </cell>
          <cell r="E761">
            <v>600</v>
          </cell>
          <cell r="F761">
            <v>600</v>
          </cell>
          <cell r="G761">
            <v>600</v>
          </cell>
          <cell r="H761">
            <v>600</v>
          </cell>
          <cell r="I761">
            <v>600</v>
          </cell>
          <cell r="J761">
            <v>600</v>
          </cell>
          <cell r="K761">
            <v>600</v>
          </cell>
          <cell r="L761">
            <v>600</v>
          </cell>
          <cell r="M761">
            <v>600</v>
          </cell>
          <cell r="N761">
            <v>600</v>
          </cell>
          <cell r="P761">
            <v>600</v>
          </cell>
          <cell r="Q761">
            <v>600</v>
          </cell>
          <cell r="R761">
            <v>600</v>
          </cell>
          <cell r="S761">
            <v>600</v>
          </cell>
          <cell r="T761">
            <v>600</v>
          </cell>
          <cell r="U761">
            <v>600</v>
          </cell>
          <cell r="V761">
            <v>600</v>
          </cell>
          <cell r="W761">
            <v>600</v>
          </cell>
        </row>
        <row r="762">
          <cell r="A762" t="str">
            <v>97#2</v>
          </cell>
          <cell r="B762">
            <v>600</v>
          </cell>
          <cell r="C762">
            <v>600</v>
          </cell>
          <cell r="D762">
            <v>600</v>
          </cell>
          <cell r="E762">
            <v>600</v>
          </cell>
          <cell r="F762">
            <v>600</v>
          </cell>
          <cell r="G762">
            <v>600</v>
          </cell>
          <cell r="H762">
            <v>600</v>
          </cell>
          <cell r="I762">
            <v>600</v>
          </cell>
          <cell r="J762">
            <v>600</v>
          </cell>
          <cell r="K762">
            <v>600</v>
          </cell>
          <cell r="L762">
            <v>600</v>
          </cell>
          <cell r="M762">
            <v>600</v>
          </cell>
          <cell r="N762">
            <v>600</v>
          </cell>
          <cell r="P762">
            <v>600</v>
          </cell>
          <cell r="Q762">
            <v>600</v>
          </cell>
          <cell r="R762">
            <v>600</v>
          </cell>
          <cell r="S762">
            <v>600</v>
          </cell>
          <cell r="T762">
            <v>600</v>
          </cell>
          <cell r="U762">
            <v>600</v>
          </cell>
          <cell r="V762">
            <v>600</v>
          </cell>
          <cell r="W762">
            <v>600</v>
          </cell>
        </row>
        <row r="763">
          <cell r="A763" t="str">
            <v>98#1</v>
          </cell>
          <cell r="B763">
            <v>600</v>
          </cell>
          <cell r="C763">
            <v>600</v>
          </cell>
          <cell r="D763">
            <v>600</v>
          </cell>
          <cell r="E763">
            <v>600</v>
          </cell>
          <cell r="F763">
            <v>600</v>
          </cell>
          <cell r="G763">
            <v>600</v>
          </cell>
          <cell r="H763">
            <v>600</v>
          </cell>
          <cell r="I763">
            <v>600</v>
          </cell>
          <cell r="J763">
            <v>600</v>
          </cell>
          <cell r="K763">
            <v>600</v>
          </cell>
          <cell r="L763">
            <v>600</v>
          </cell>
          <cell r="M763">
            <v>600</v>
          </cell>
          <cell r="N763">
            <v>600</v>
          </cell>
          <cell r="P763">
            <v>600</v>
          </cell>
          <cell r="Q763">
            <v>600</v>
          </cell>
          <cell r="R763">
            <v>600</v>
          </cell>
          <cell r="S763">
            <v>600</v>
          </cell>
          <cell r="T763">
            <v>600</v>
          </cell>
          <cell r="U763">
            <v>600</v>
          </cell>
          <cell r="V763">
            <v>600</v>
          </cell>
          <cell r="W763">
            <v>600</v>
          </cell>
        </row>
        <row r="764">
          <cell r="A764" t="str">
            <v>98#2</v>
          </cell>
          <cell r="B764">
            <v>600</v>
          </cell>
          <cell r="C764">
            <v>600</v>
          </cell>
          <cell r="D764">
            <v>600</v>
          </cell>
          <cell r="E764">
            <v>600</v>
          </cell>
          <cell r="F764">
            <v>600</v>
          </cell>
          <cell r="G764">
            <v>600</v>
          </cell>
          <cell r="H764">
            <v>600</v>
          </cell>
          <cell r="I764">
            <v>600</v>
          </cell>
          <cell r="J764">
            <v>600</v>
          </cell>
          <cell r="K764">
            <v>600</v>
          </cell>
          <cell r="L764">
            <v>600</v>
          </cell>
          <cell r="M764">
            <v>600</v>
          </cell>
          <cell r="N764">
            <v>600</v>
          </cell>
          <cell r="P764">
            <v>600</v>
          </cell>
          <cell r="Q764">
            <v>600</v>
          </cell>
          <cell r="R764">
            <v>600</v>
          </cell>
          <cell r="S764">
            <v>600</v>
          </cell>
          <cell r="T764">
            <v>600</v>
          </cell>
          <cell r="U764">
            <v>600</v>
          </cell>
          <cell r="V764">
            <v>600</v>
          </cell>
          <cell r="W764">
            <v>600</v>
          </cell>
        </row>
        <row r="765">
          <cell r="A765" t="str">
            <v>Mos</v>
          </cell>
        </row>
        <row r="766">
          <cell r="A766" t="str">
            <v>Con</v>
          </cell>
          <cell r="B766">
            <v>1010.7692307692307</v>
          </cell>
          <cell r="C766">
            <v>1010.7692307692307</v>
          </cell>
          <cell r="D766">
            <v>1010.7692307692307</v>
          </cell>
          <cell r="E766">
            <v>1010.7692307692307</v>
          </cell>
          <cell r="F766">
            <v>1010.7692307692307</v>
          </cell>
          <cell r="G766">
            <v>1010.7692307692307</v>
          </cell>
          <cell r="H766">
            <v>1010.7692307692307</v>
          </cell>
          <cell r="I766">
            <v>1010.7692307692307</v>
          </cell>
          <cell r="J766">
            <v>1010.7692307692307</v>
          </cell>
          <cell r="K766">
            <v>1010.7692307692307</v>
          </cell>
          <cell r="L766">
            <v>1010.7692307692307</v>
          </cell>
          <cell r="M766">
            <v>1010.7692307692307</v>
          </cell>
          <cell r="N766">
            <v>1010.7692307692307</v>
          </cell>
          <cell r="O766">
            <v>1010.7692307692307</v>
          </cell>
          <cell r="P766">
            <v>1010.7692307692307</v>
          </cell>
          <cell r="Q766">
            <v>1010.7692307692307</v>
          </cell>
          <cell r="R766">
            <v>1010.7692307692307</v>
          </cell>
          <cell r="S766">
            <v>1010.7692307692307</v>
          </cell>
          <cell r="T766">
            <v>1010.7692307692307</v>
          </cell>
          <cell r="U766">
            <v>1010.7692307692307</v>
          </cell>
          <cell r="V766">
            <v>1010.7692307692307</v>
          </cell>
          <cell r="W766">
            <v>1010.7692307692307</v>
          </cell>
        </row>
        <row r="768">
          <cell r="A768" t="str">
            <v>2-Wire Line monthly</v>
          </cell>
        </row>
        <row r="769">
          <cell r="B769">
            <v>35765</v>
          </cell>
          <cell r="C769">
            <v>35796</v>
          </cell>
          <cell r="D769">
            <v>35827</v>
          </cell>
          <cell r="E769">
            <v>35855</v>
          </cell>
          <cell r="F769">
            <v>35886</v>
          </cell>
          <cell r="G769">
            <v>35916</v>
          </cell>
          <cell r="H769">
            <v>35947</v>
          </cell>
          <cell r="I769">
            <v>35977</v>
          </cell>
          <cell r="J769">
            <v>36008</v>
          </cell>
          <cell r="K769">
            <v>36039</v>
          </cell>
          <cell r="L769">
            <v>36069</v>
          </cell>
          <cell r="M769">
            <v>36100</v>
          </cell>
          <cell r="N769">
            <v>36130</v>
          </cell>
          <cell r="O769" t="str">
            <v>Total 98</v>
          </cell>
          <cell r="P769" t="str">
            <v>Q1-99</v>
          </cell>
          <cell r="Q769" t="str">
            <v>Q2-99</v>
          </cell>
          <cell r="R769" t="str">
            <v>Q3-99</v>
          </cell>
          <cell r="S769" t="str">
            <v>Q4-99</v>
          </cell>
          <cell r="T769" t="str">
            <v>Total 99</v>
          </cell>
          <cell r="U769">
            <v>2000</v>
          </cell>
          <cell r="V769">
            <v>2001</v>
          </cell>
          <cell r="W769">
            <v>2002</v>
          </cell>
        </row>
        <row r="770">
          <cell r="A770" t="str">
            <v>Ark</v>
          </cell>
          <cell r="B770">
            <v>20</v>
          </cell>
          <cell r="C770">
            <v>20</v>
          </cell>
          <cell r="D770">
            <v>20</v>
          </cell>
          <cell r="E770">
            <v>20</v>
          </cell>
          <cell r="F770">
            <v>20</v>
          </cell>
          <cell r="G770">
            <v>20</v>
          </cell>
          <cell r="H770">
            <v>20</v>
          </cell>
          <cell r="I770">
            <v>20</v>
          </cell>
          <cell r="J770">
            <v>20</v>
          </cell>
          <cell r="K770">
            <v>20</v>
          </cell>
          <cell r="L770">
            <v>20</v>
          </cell>
          <cell r="M770">
            <v>20</v>
          </cell>
          <cell r="N770">
            <v>20</v>
          </cell>
          <cell r="O770">
            <v>20</v>
          </cell>
          <cell r="P770">
            <v>20</v>
          </cell>
          <cell r="Q770">
            <v>20</v>
          </cell>
          <cell r="R770">
            <v>20</v>
          </cell>
          <cell r="S770">
            <v>20</v>
          </cell>
          <cell r="T770">
            <v>20</v>
          </cell>
          <cell r="U770">
            <v>20</v>
          </cell>
          <cell r="V770">
            <v>20</v>
          </cell>
          <cell r="W770">
            <v>20</v>
          </cell>
        </row>
        <row r="771">
          <cell r="A771" t="str">
            <v>Eka</v>
          </cell>
          <cell r="B771">
            <v>70</v>
          </cell>
          <cell r="C771">
            <v>70</v>
          </cell>
          <cell r="D771">
            <v>70</v>
          </cell>
          <cell r="E771">
            <v>70</v>
          </cell>
          <cell r="F771">
            <v>70</v>
          </cell>
          <cell r="G771">
            <v>70</v>
          </cell>
          <cell r="H771">
            <v>70</v>
          </cell>
          <cell r="I771">
            <v>70</v>
          </cell>
          <cell r="J771">
            <v>70</v>
          </cell>
          <cell r="K771">
            <v>70</v>
          </cell>
          <cell r="L771">
            <v>70</v>
          </cell>
          <cell r="M771">
            <v>70</v>
          </cell>
          <cell r="N771">
            <v>70</v>
          </cell>
          <cell r="O771">
            <v>70</v>
          </cell>
          <cell r="P771">
            <v>70</v>
          </cell>
          <cell r="Q771">
            <v>70</v>
          </cell>
          <cell r="R771">
            <v>70</v>
          </cell>
          <cell r="S771">
            <v>70</v>
          </cell>
          <cell r="T771">
            <v>70</v>
          </cell>
          <cell r="U771">
            <v>70</v>
          </cell>
          <cell r="V771">
            <v>70</v>
          </cell>
          <cell r="W771">
            <v>70</v>
          </cell>
        </row>
        <row r="772">
          <cell r="A772" t="str">
            <v>Irk</v>
          </cell>
          <cell r="B772">
            <v>15</v>
          </cell>
          <cell r="C772">
            <v>15</v>
          </cell>
          <cell r="D772">
            <v>15</v>
          </cell>
          <cell r="E772">
            <v>15</v>
          </cell>
          <cell r="F772">
            <v>15</v>
          </cell>
          <cell r="G772">
            <v>15</v>
          </cell>
          <cell r="H772">
            <v>15</v>
          </cell>
          <cell r="I772">
            <v>15</v>
          </cell>
          <cell r="J772">
            <v>15</v>
          </cell>
          <cell r="K772">
            <v>15</v>
          </cell>
          <cell r="L772">
            <v>15</v>
          </cell>
          <cell r="M772">
            <v>15</v>
          </cell>
          <cell r="N772">
            <v>15</v>
          </cell>
          <cell r="O772">
            <v>15</v>
          </cell>
          <cell r="P772">
            <v>15</v>
          </cell>
          <cell r="Q772">
            <v>15</v>
          </cell>
          <cell r="R772">
            <v>15</v>
          </cell>
          <cell r="S772">
            <v>15</v>
          </cell>
          <cell r="T772">
            <v>15</v>
          </cell>
          <cell r="U772">
            <v>15</v>
          </cell>
          <cell r="V772">
            <v>15</v>
          </cell>
          <cell r="W772">
            <v>15</v>
          </cell>
        </row>
        <row r="773">
          <cell r="A773" t="str">
            <v>Kha</v>
          </cell>
          <cell r="B773">
            <v>24</v>
          </cell>
          <cell r="C773">
            <v>24</v>
          </cell>
          <cell r="D773">
            <v>24</v>
          </cell>
          <cell r="E773">
            <v>24</v>
          </cell>
          <cell r="F773">
            <v>24</v>
          </cell>
          <cell r="G773">
            <v>24</v>
          </cell>
          <cell r="H773">
            <v>24</v>
          </cell>
          <cell r="I773">
            <v>24</v>
          </cell>
          <cell r="J773">
            <v>24</v>
          </cell>
          <cell r="K773">
            <v>24</v>
          </cell>
          <cell r="L773">
            <v>24</v>
          </cell>
          <cell r="M773">
            <v>24</v>
          </cell>
          <cell r="N773">
            <v>24</v>
          </cell>
          <cell r="O773">
            <v>24</v>
          </cell>
          <cell r="P773">
            <v>24</v>
          </cell>
          <cell r="Q773">
            <v>24</v>
          </cell>
          <cell r="R773">
            <v>24</v>
          </cell>
          <cell r="S773">
            <v>24</v>
          </cell>
          <cell r="T773">
            <v>24</v>
          </cell>
          <cell r="U773">
            <v>24</v>
          </cell>
          <cell r="V773">
            <v>24</v>
          </cell>
          <cell r="W773">
            <v>24</v>
          </cell>
        </row>
        <row r="774">
          <cell r="A774" t="str">
            <v>Kra</v>
          </cell>
          <cell r="B774">
            <v>25</v>
          </cell>
          <cell r="C774">
            <v>25</v>
          </cell>
          <cell r="D774">
            <v>25</v>
          </cell>
          <cell r="E774">
            <v>25</v>
          </cell>
          <cell r="F774">
            <v>25</v>
          </cell>
          <cell r="G774">
            <v>25</v>
          </cell>
          <cell r="H774">
            <v>25</v>
          </cell>
          <cell r="I774">
            <v>25</v>
          </cell>
          <cell r="J774">
            <v>25</v>
          </cell>
          <cell r="K774">
            <v>25</v>
          </cell>
          <cell r="L774">
            <v>25</v>
          </cell>
          <cell r="M774">
            <v>25</v>
          </cell>
          <cell r="N774">
            <v>25</v>
          </cell>
          <cell r="O774">
            <v>25</v>
          </cell>
          <cell r="P774">
            <v>25</v>
          </cell>
          <cell r="Q774">
            <v>25</v>
          </cell>
          <cell r="R774">
            <v>25</v>
          </cell>
          <cell r="S774">
            <v>25</v>
          </cell>
          <cell r="T774">
            <v>25</v>
          </cell>
          <cell r="U774">
            <v>25</v>
          </cell>
          <cell r="V774">
            <v>25</v>
          </cell>
          <cell r="W774">
            <v>25</v>
          </cell>
        </row>
        <row r="775">
          <cell r="A775" t="str">
            <v>Niz</v>
          </cell>
          <cell r="B775">
            <v>50</v>
          </cell>
          <cell r="C775">
            <v>50</v>
          </cell>
          <cell r="D775">
            <v>50</v>
          </cell>
          <cell r="E775">
            <v>50</v>
          </cell>
          <cell r="F775">
            <v>50</v>
          </cell>
          <cell r="G775">
            <v>50</v>
          </cell>
          <cell r="H775">
            <v>50</v>
          </cell>
          <cell r="I775">
            <v>50</v>
          </cell>
          <cell r="J775">
            <v>50</v>
          </cell>
          <cell r="K775">
            <v>50</v>
          </cell>
          <cell r="L775">
            <v>50</v>
          </cell>
          <cell r="M775">
            <v>50</v>
          </cell>
          <cell r="N775">
            <v>50</v>
          </cell>
          <cell r="O775">
            <v>50</v>
          </cell>
          <cell r="P775">
            <v>50</v>
          </cell>
          <cell r="Q775">
            <v>50</v>
          </cell>
          <cell r="R775">
            <v>50</v>
          </cell>
          <cell r="S775">
            <v>50</v>
          </cell>
          <cell r="T775">
            <v>50</v>
          </cell>
          <cell r="U775">
            <v>50</v>
          </cell>
          <cell r="V775">
            <v>50</v>
          </cell>
          <cell r="W775">
            <v>50</v>
          </cell>
        </row>
        <row r="776">
          <cell r="A776" t="str">
            <v>Nov</v>
          </cell>
          <cell r="B776">
            <v>120</v>
          </cell>
          <cell r="C776">
            <v>120</v>
          </cell>
          <cell r="D776">
            <v>120</v>
          </cell>
          <cell r="E776">
            <v>120</v>
          </cell>
          <cell r="F776">
            <v>120</v>
          </cell>
          <cell r="G776">
            <v>120</v>
          </cell>
          <cell r="H776">
            <v>120</v>
          </cell>
          <cell r="I776">
            <v>120</v>
          </cell>
          <cell r="J776">
            <v>120</v>
          </cell>
          <cell r="K776">
            <v>120</v>
          </cell>
          <cell r="L776">
            <v>120</v>
          </cell>
          <cell r="M776">
            <v>120</v>
          </cell>
          <cell r="N776">
            <v>120</v>
          </cell>
          <cell r="O776">
            <v>120</v>
          </cell>
          <cell r="P776">
            <v>120</v>
          </cell>
          <cell r="Q776">
            <v>120</v>
          </cell>
          <cell r="R776">
            <v>120</v>
          </cell>
          <cell r="S776">
            <v>120</v>
          </cell>
          <cell r="T776">
            <v>120</v>
          </cell>
          <cell r="U776">
            <v>120</v>
          </cell>
          <cell r="V776">
            <v>120</v>
          </cell>
          <cell r="W776">
            <v>120</v>
          </cell>
        </row>
        <row r="777">
          <cell r="A777" t="str">
            <v>Syk</v>
          </cell>
          <cell r="B777">
            <v>40</v>
          </cell>
          <cell r="C777">
            <v>40</v>
          </cell>
          <cell r="D777">
            <v>40</v>
          </cell>
          <cell r="E777">
            <v>40</v>
          </cell>
          <cell r="F777">
            <v>40</v>
          </cell>
          <cell r="G777">
            <v>40</v>
          </cell>
          <cell r="H777">
            <v>40</v>
          </cell>
          <cell r="I777">
            <v>40</v>
          </cell>
          <cell r="J777">
            <v>40</v>
          </cell>
          <cell r="K777">
            <v>40</v>
          </cell>
          <cell r="L777">
            <v>40</v>
          </cell>
          <cell r="M777">
            <v>40</v>
          </cell>
          <cell r="N777">
            <v>40</v>
          </cell>
          <cell r="O777">
            <v>40</v>
          </cell>
          <cell r="P777">
            <v>40</v>
          </cell>
          <cell r="Q777">
            <v>40</v>
          </cell>
          <cell r="R777">
            <v>40</v>
          </cell>
          <cell r="S777">
            <v>40</v>
          </cell>
          <cell r="T777">
            <v>40</v>
          </cell>
          <cell r="U777">
            <v>40</v>
          </cell>
          <cell r="V777">
            <v>40</v>
          </cell>
          <cell r="W777">
            <v>40</v>
          </cell>
        </row>
        <row r="778">
          <cell r="A778" t="str">
            <v>Tyu</v>
          </cell>
          <cell r="B778">
            <v>50</v>
          </cell>
          <cell r="C778">
            <v>50</v>
          </cell>
          <cell r="D778">
            <v>50</v>
          </cell>
          <cell r="E778">
            <v>50</v>
          </cell>
          <cell r="F778">
            <v>50</v>
          </cell>
          <cell r="G778">
            <v>50</v>
          </cell>
          <cell r="H778">
            <v>50</v>
          </cell>
          <cell r="I778">
            <v>50</v>
          </cell>
          <cell r="J778">
            <v>50</v>
          </cell>
          <cell r="K778">
            <v>50</v>
          </cell>
          <cell r="L778">
            <v>50</v>
          </cell>
          <cell r="M778">
            <v>50</v>
          </cell>
          <cell r="N778">
            <v>50</v>
          </cell>
          <cell r="O778">
            <v>50</v>
          </cell>
          <cell r="P778">
            <v>50</v>
          </cell>
          <cell r="Q778">
            <v>50</v>
          </cell>
          <cell r="R778">
            <v>50</v>
          </cell>
          <cell r="S778">
            <v>50</v>
          </cell>
          <cell r="T778">
            <v>50</v>
          </cell>
          <cell r="U778">
            <v>50</v>
          </cell>
          <cell r="V778">
            <v>50</v>
          </cell>
          <cell r="W778">
            <v>50</v>
          </cell>
        </row>
        <row r="779">
          <cell r="A779" t="str">
            <v>Ufa</v>
          </cell>
          <cell r="B779">
            <v>50</v>
          </cell>
          <cell r="C779">
            <v>50</v>
          </cell>
          <cell r="D779">
            <v>50</v>
          </cell>
          <cell r="E779">
            <v>50</v>
          </cell>
          <cell r="F779">
            <v>50</v>
          </cell>
          <cell r="G779">
            <v>50</v>
          </cell>
          <cell r="H779">
            <v>50</v>
          </cell>
          <cell r="I779">
            <v>50</v>
          </cell>
          <cell r="J779">
            <v>50</v>
          </cell>
          <cell r="K779">
            <v>50</v>
          </cell>
          <cell r="L779">
            <v>50</v>
          </cell>
          <cell r="M779">
            <v>50</v>
          </cell>
          <cell r="N779">
            <v>50</v>
          </cell>
          <cell r="O779">
            <v>50</v>
          </cell>
          <cell r="P779">
            <v>50</v>
          </cell>
          <cell r="Q779">
            <v>50</v>
          </cell>
          <cell r="R779">
            <v>50</v>
          </cell>
          <cell r="S779">
            <v>50</v>
          </cell>
          <cell r="T779">
            <v>50</v>
          </cell>
          <cell r="U779">
            <v>50</v>
          </cell>
          <cell r="V779">
            <v>50</v>
          </cell>
          <cell r="W779">
            <v>50</v>
          </cell>
        </row>
        <row r="780">
          <cell r="A780" t="str">
            <v>Vla</v>
          </cell>
          <cell r="B780">
            <v>25</v>
          </cell>
          <cell r="C780">
            <v>25</v>
          </cell>
          <cell r="D780">
            <v>25</v>
          </cell>
          <cell r="E780">
            <v>25</v>
          </cell>
          <cell r="F780">
            <v>25</v>
          </cell>
          <cell r="G780">
            <v>25</v>
          </cell>
          <cell r="H780">
            <v>25</v>
          </cell>
          <cell r="I780">
            <v>25</v>
          </cell>
          <cell r="J780">
            <v>25</v>
          </cell>
          <cell r="K780">
            <v>25</v>
          </cell>
          <cell r="L780">
            <v>25</v>
          </cell>
          <cell r="M780">
            <v>25</v>
          </cell>
          <cell r="N780">
            <v>25</v>
          </cell>
          <cell r="O780">
            <v>25</v>
          </cell>
          <cell r="P780">
            <v>25</v>
          </cell>
          <cell r="Q780">
            <v>25</v>
          </cell>
          <cell r="R780">
            <v>25</v>
          </cell>
          <cell r="S780">
            <v>25</v>
          </cell>
          <cell r="T780">
            <v>25</v>
          </cell>
          <cell r="U780">
            <v>25</v>
          </cell>
          <cell r="V780">
            <v>25</v>
          </cell>
          <cell r="W780">
            <v>25</v>
          </cell>
        </row>
        <row r="781">
          <cell r="A781" t="str">
            <v>Vol</v>
          </cell>
          <cell r="B781">
            <v>50</v>
          </cell>
          <cell r="C781">
            <v>50</v>
          </cell>
          <cell r="D781">
            <v>50</v>
          </cell>
          <cell r="E781">
            <v>50</v>
          </cell>
          <cell r="F781">
            <v>50</v>
          </cell>
          <cell r="G781">
            <v>50</v>
          </cell>
          <cell r="H781">
            <v>50</v>
          </cell>
          <cell r="I781">
            <v>50</v>
          </cell>
          <cell r="J781">
            <v>50</v>
          </cell>
          <cell r="K781">
            <v>50</v>
          </cell>
          <cell r="L781">
            <v>50</v>
          </cell>
          <cell r="M781">
            <v>50</v>
          </cell>
          <cell r="N781">
            <v>50</v>
          </cell>
          <cell r="O781">
            <v>50</v>
          </cell>
          <cell r="P781">
            <v>50</v>
          </cell>
          <cell r="Q781">
            <v>50</v>
          </cell>
          <cell r="R781">
            <v>50</v>
          </cell>
          <cell r="S781">
            <v>50</v>
          </cell>
          <cell r="T781">
            <v>50</v>
          </cell>
          <cell r="U781">
            <v>50</v>
          </cell>
          <cell r="V781">
            <v>50</v>
          </cell>
          <cell r="W781">
            <v>50</v>
          </cell>
        </row>
        <row r="782">
          <cell r="A782" t="str">
            <v>Vor</v>
          </cell>
          <cell r="B782">
            <v>20</v>
          </cell>
          <cell r="C782">
            <v>20</v>
          </cell>
          <cell r="D782">
            <v>20</v>
          </cell>
          <cell r="E782">
            <v>20</v>
          </cell>
          <cell r="F782">
            <v>20</v>
          </cell>
          <cell r="G782">
            <v>20</v>
          </cell>
          <cell r="H782">
            <v>20</v>
          </cell>
          <cell r="I782">
            <v>20</v>
          </cell>
          <cell r="J782">
            <v>20</v>
          </cell>
          <cell r="K782">
            <v>20</v>
          </cell>
          <cell r="L782">
            <v>20</v>
          </cell>
          <cell r="M782">
            <v>20</v>
          </cell>
          <cell r="N782">
            <v>20</v>
          </cell>
          <cell r="O782">
            <v>20</v>
          </cell>
          <cell r="P782">
            <v>20</v>
          </cell>
          <cell r="Q782">
            <v>20</v>
          </cell>
          <cell r="R782">
            <v>20</v>
          </cell>
          <cell r="S782">
            <v>20</v>
          </cell>
          <cell r="T782">
            <v>20</v>
          </cell>
          <cell r="U782">
            <v>20</v>
          </cell>
          <cell r="V782">
            <v>20</v>
          </cell>
          <cell r="W782">
            <v>20</v>
          </cell>
        </row>
        <row r="783">
          <cell r="A783" t="str">
            <v>97#1</v>
          </cell>
          <cell r="B783">
            <v>40</v>
          </cell>
          <cell r="C783">
            <v>40</v>
          </cell>
          <cell r="D783">
            <v>40</v>
          </cell>
          <cell r="E783">
            <v>40</v>
          </cell>
          <cell r="F783">
            <v>40</v>
          </cell>
          <cell r="G783">
            <v>40</v>
          </cell>
          <cell r="H783">
            <v>40</v>
          </cell>
          <cell r="I783">
            <v>40</v>
          </cell>
          <cell r="J783">
            <v>40</v>
          </cell>
          <cell r="K783">
            <v>40</v>
          </cell>
          <cell r="L783">
            <v>40</v>
          </cell>
          <cell r="M783">
            <v>40</v>
          </cell>
          <cell r="N783">
            <v>40</v>
          </cell>
          <cell r="P783">
            <v>40</v>
          </cell>
          <cell r="Q783">
            <v>40</v>
          </cell>
          <cell r="R783">
            <v>40</v>
          </cell>
          <cell r="S783">
            <v>40</v>
          </cell>
          <cell r="T783">
            <v>40</v>
          </cell>
          <cell r="U783">
            <v>40</v>
          </cell>
          <cell r="V783">
            <v>40</v>
          </cell>
          <cell r="W783">
            <v>40</v>
          </cell>
        </row>
        <row r="784">
          <cell r="A784" t="str">
            <v>97#2</v>
          </cell>
          <cell r="B784">
            <v>40</v>
          </cell>
          <cell r="C784">
            <v>40</v>
          </cell>
          <cell r="D784">
            <v>40</v>
          </cell>
          <cell r="E784">
            <v>40</v>
          </cell>
          <cell r="F784">
            <v>40</v>
          </cell>
          <cell r="G784">
            <v>40</v>
          </cell>
          <cell r="H784">
            <v>40</v>
          </cell>
          <cell r="I784">
            <v>40</v>
          </cell>
          <cell r="J784">
            <v>40</v>
          </cell>
          <cell r="K784">
            <v>40</v>
          </cell>
          <cell r="L784">
            <v>40</v>
          </cell>
          <cell r="M784">
            <v>40</v>
          </cell>
          <cell r="N784">
            <v>40</v>
          </cell>
          <cell r="P784">
            <v>40</v>
          </cell>
          <cell r="Q784">
            <v>40</v>
          </cell>
          <cell r="R784">
            <v>40</v>
          </cell>
          <cell r="S784">
            <v>40</v>
          </cell>
          <cell r="T784">
            <v>40</v>
          </cell>
          <cell r="U784">
            <v>40</v>
          </cell>
          <cell r="V784">
            <v>40</v>
          </cell>
          <cell r="W784">
            <v>40</v>
          </cell>
        </row>
        <row r="785">
          <cell r="A785" t="str">
            <v>98#1</v>
          </cell>
          <cell r="B785">
            <v>40</v>
          </cell>
          <cell r="C785">
            <v>40</v>
          </cell>
          <cell r="D785">
            <v>40</v>
          </cell>
          <cell r="E785">
            <v>40</v>
          </cell>
          <cell r="F785">
            <v>40</v>
          </cell>
          <cell r="G785">
            <v>40</v>
          </cell>
          <cell r="H785">
            <v>40</v>
          </cell>
          <cell r="I785">
            <v>40</v>
          </cell>
          <cell r="J785">
            <v>40</v>
          </cell>
          <cell r="K785">
            <v>40</v>
          </cell>
          <cell r="L785">
            <v>40</v>
          </cell>
          <cell r="M785">
            <v>40</v>
          </cell>
          <cell r="N785">
            <v>40</v>
          </cell>
          <cell r="P785">
            <v>40</v>
          </cell>
          <cell r="Q785">
            <v>40</v>
          </cell>
          <cell r="R785">
            <v>40</v>
          </cell>
          <cell r="S785">
            <v>40</v>
          </cell>
          <cell r="T785">
            <v>40</v>
          </cell>
          <cell r="U785">
            <v>40</v>
          </cell>
          <cell r="V785">
            <v>40</v>
          </cell>
          <cell r="W785">
            <v>40</v>
          </cell>
        </row>
        <row r="786">
          <cell r="A786" t="str">
            <v>98#2</v>
          </cell>
          <cell r="B786">
            <v>40</v>
          </cell>
          <cell r="C786">
            <v>40</v>
          </cell>
          <cell r="D786">
            <v>40</v>
          </cell>
          <cell r="E786">
            <v>40</v>
          </cell>
          <cell r="F786">
            <v>40</v>
          </cell>
          <cell r="G786">
            <v>40</v>
          </cell>
          <cell r="H786">
            <v>40</v>
          </cell>
          <cell r="I786">
            <v>40</v>
          </cell>
          <cell r="J786">
            <v>40</v>
          </cell>
          <cell r="K786">
            <v>40</v>
          </cell>
          <cell r="L786">
            <v>40</v>
          </cell>
          <cell r="M786">
            <v>40</v>
          </cell>
          <cell r="N786">
            <v>40</v>
          </cell>
          <cell r="P786">
            <v>40</v>
          </cell>
          <cell r="Q786">
            <v>40</v>
          </cell>
          <cell r="R786">
            <v>40</v>
          </cell>
          <cell r="S786">
            <v>40</v>
          </cell>
          <cell r="T786">
            <v>40</v>
          </cell>
          <cell r="U786">
            <v>40</v>
          </cell>
          <cell r="V786">
            <v>40</v>
          </cell>
          <cell r="W786">
            <v>40</v>
          </cell>
        </row>
        <row r="787">
          <cell r="A787" t="str">
            <v>Mos</v>
          </cell>
        </row>
        <row r="788">
          <cell r="A788" t="str">
            <v>Con</v>
          </cell>
          <cell r="B788">
            <v>43</v>
          </cell>
          <cell r="C788">
            <v>43</v>
          </cell>
          <cell r="D788">
            <v>43</v>
          </cell>
          <cell r="E788">
            <v>43</v>
          </cell>
          <cell r="F788">
            <v>43</v>
          </cell>
          <cell r="G788">
            <v>43</v>
          </cell>
          <cell r="H788">
            <v>43</v>
          </cell>
          <cell r="I788">
            <v>43</v>
          </cell>
          <cell r="J788">
            <v>43</v>
          </cell>
          <cell r="K788">
            <v>43</v>
          </cell>
          <cell r="L788">
            <v>43</v>
          </cell>
          <cell r="M788">
            <v>43</v>
          </cell>
          <cell r="N788">
            <v>43</v>
          </cell>
          <cell r="O788">
            <v>43</v>
          </cell>
          <cell r="P788">
            <v>43</v>
          </cell>
          <cell r="Q788">
            <v>43</v>
          </cell>
          <cell r="R788">
            <v>43</v>
          </cell>
          <cell r="S788">
            <v>43</v>
          </cell>
          <cell r="T788">
            <v>43</v>
          </cell>
          <cell r="U788">
            <v>43</v>
          </cell>
          <cell r="V788">
            <v>43</v>
          </cell>
          <cell r="W788">
            <v>43</v>
          </cell>
        </row>
        <row r="790">
          <cell r="A790" t="str">
            <v>PCM-4 Number of New Lines</v>
          </cell>
        </row>
        <row r="791">
          <cell r="B791">
            <v>35765</v>
          </cell>
          <cell r="C791">
            <v>35796</v>
          </cell>
          <cell r="D791">
            <v>35827</v>
          </cell>
          <cell r="E791">
            <v>35855</v>
          </cell>
          <cell r="F791">
            <v>35886</v>
          </cell>
          <cell r="G791">
            <v>35916</v>
          </cell>
          <cell r="H791">
            <v>35947</v>
          </cell>
          <cell r="I791">
            <v>35977</v>
          </cell>
          <cell r="J791">
            <v>36008</v>
          </cell>
          <cell r="K791">
            <v>36039</v>
          </cell>
          <cell r="L791">
            <v>36069</v>
          </cell>
          <cell r="M791">
            <v>36100</v>
          </cell>
          <cell r="N791">
            <v>36130</v>
          </cell>
          <cell r="O791" t="str">
            <v>Total 98</v>
          </cell>
          <cell r="P791" t="str">
            <v>Q1-99</v>
          </cell>
          <cell r="Q791" t="str">
            <v>Q2-99</v>
          </cell>
          <cell r="R791" t="str">
            <v>Q3-99</v>
          </cell>
          <cell r="S791" t="str">
            <v>Q4-99</v>
          </cell>
          <cell r="T791" t="str">
            <v>Total 99</v>
          </cell>
          <cell r="U791">
            <v>2000</v>
          </cell>
          <cell r="V791">
            <v>2001</v>
          </cell>
          <cell r="W791">
            <v>2002</v>
          </cell>
        </row>
        <row r="792">
          <cell r="A792" t="str">
            <v>Ark</v>
          </cell>
          <cell r="B792">
            <v>17</v>
          </cell>
          <cell r="C792">
            <v>0.625</v>
          </cell>
          <cell r="D792">
            <v>0.625</v>
          </cell>
          <cell r="E792">
            <v>0.625</v>
          </cell>
          <cell r="F792">
            <v>0.75</v>
          </cell>
          <cell r="G792">
            <v>0.625</v>
          </cell>
          <cell r="H792">
            <v>0.75</v>
          </cell>
          <cell r="I792">
            <v>0.625</v>
          </cell>
          <cell r="J792">
            <v>0.625</v>
          </cell>
          <cell r="K792">
            <v>0.625</v>
          </cell>
          <cell r="L792">
            <v>0.75</v>
          </cell>
          <cell r="M792">
            <v>0.75</v>
          </cell>
          <cell r="N792">
            <v>0.625</v>
          </cell>
          <cell r="O792">
            <v>8</v>
          </cell>
          <cell r="P792">
            <v>2.2124999999999999</v>
          </cell>
          <cell r="Q792">
            <v>2.4637500000000001</v>
          </cell>
          <cell r="R792">
            <v>2.8625625000000001</v>
          </cell>
          <cell r="S792">
            <v>3.329971875</v>
          </cell>
          <cell r="T792">
            <v>10.868784375000001</v>
          </cell>
          <cell r="U792">
            <v>14.626456406250004</v>
          </cell>
          <cell r="V792">
            <v>19.014393328125006</v>
          </cell>
          <cell r="W792">
            <v>22.101813002343757</v>
          </cell>
        </row>
        <row r="793">
          <cell r="A793" t="str">
            <v>Eka</v>
          </cell>
          <cell r="B793">
            <v>40.333333333333336</v>
          </cell>
          <cell r="C793">
            <v>0.75</v>
          </cell>
          <cell r="D793">
            <v>0.875</v>
          </cell>
          <cell r="E793">
            <v>1.25</v>
          </cell>
          <cell r="F793">
            <v>1.625</v>
          </cell>
          <cell r="G793">
            <v>0.625</v>
          </cell>
          <cell r="H793">
            <v>1.5</v>
          </cell>
          <cell r="I793">
            <v>1.25</v>
          </cell>
          <cell r="J793">
            <v>1.375</v>
          </cell>
          <cell r="K793">
            <v>1.5</v>
          </cell>
          <cell r="L793">
            <v>1.75</v>
          </cell>
          <cell r="M793">
            <v>1.75</v>
          </cell>
          <cell r="N793">
            <v>1.375</v>
          </cell>
          <cell r="O793">
            <v>15.625</v>
          </cell>
          <cell r="P793">
            <v>5.8875000000000002</v>
          </cell>
          <cell r="Q793">
            <v>6.4987500000000011</v>
          </cell>
          <cell r="R793">
            <v>7.4955000000000007</v>
          </cell>
          <cell r="S793">
            <v>8.6483437500000004</v>
          </cell>
          <cell r="T793">
            <v>28.530093749999999</v>
          </cell>
          <cell r="U793">
            <v>38.480824687500004</v>
          </cell>
          <cell r="V793">
            <v>50.025072093750012</v>
          </cell>
          <cell r="W793">
            <v>57.705278414062505</v>
          </cell>
        </row>
        <row r="794">
          <cell r="A794" t="str">
            <v>Irk</v>
          </cell>
          <cell r="B794">
            <v>32.333333333333336</v>
          </cell>
          <cell r="C794">
            <v>0.75</v>
          </cell>
          <cell r="D794">
            <v>1.125</v>
          </cell>
          <cell r="E794">
            <v>1.125</v>
          </cell>
          <cell r="F794">
            <v>1.375</v>
          </cell>
          <cell r="G794">
            <v>0.75</v>
          </cell>
          <cell r="H794">
            <v>1.5</v>
          </cell>
          <cell r="I794">
            <v>1.25</v>
          </cell>
          <cell r="J794">
            <v>1.375</v>
          </cell>
          <cell r="K794">
            <v>1.5</v>
          </cell>
          <cell r="L794">
            <v>1.75</v>
          </cell>
          <cell r="M794">
            <v>2</v>
          </cell>
          <cell r="N794">
            <v>1</v>
          </cell>
          <cell r="O794">
            <v>15.5</v>
          </cell>
          <cell r="P794">
            <v>6.3375000000000004</v>
          </cell>
          <cell r="Q794">
            <v>7.0012500000000006</v>
          </cell>
          <cell r="R794">
            <v>8.0806874999999998</v>
          </cell>
          <cell r="S794">
            <v>9.3308156249999978</v>
          </cell>
          <cell r="T794">
            <v>30.750253125</v>
          </cell>
          <cell r="U794">
            <v>41.466439218750004</v>
          </cell>
          <cell r="V794">
            <v>53.906370984375002</v>
          </cell>
          <cell r="W794">
            <v>62.227587307031243</v>
          </cell>
        </row>
        <row r="795">
          <cell r="A795" t="str">
            <v>Kha</v>
          </cell>
          <cell r="B795">
            <v>17.666666666666668</v>
          </cell>
          <cell r="C795">
            <v>0.375</v>
          </cell>
          <cell r="D795">
            <v>0.625</v>
          </cell>
          <cell r="E795">
            <v>0.625</v>
          </cell>
          <cell r="F795">
            <v>0.5</v>
          </cell>
          <cell r="G795">
            <v>0.5</v>
          </cell>
          <cell r="H795">
            <v>0.5</v>
          </cell>
          <cell r="I795">
            <v>0.375</v>
          </cell>
          <cell r="J795">
            <v>0.5</v>
          </cell>
          <cell r="K795">
            <v>0.5</v>
          </cell>
          <cell r="L795">
            <v>0.625</v>
          </cell>
          <cell r="M795">
            <v>0.5</v>
          </cell>
          <cell r="N795">
            <v>0.375</v>
          </cell>
          <cell r="O795">
            <v>6</v>
          </cell>
          <cell r="P795">
            <v>1.4624999999999999</v>
          </cell>
          <cell r="Q795">
            <v>1.6537500000000001</v>
          </cell>
          <cell r="R795">
            <v>1.9456875</v>
          </cell>
          <cell r="S795">
            <v>2.2945781250000001</v>
          </cell>
          <cell r="T795">
            <v>7.3565156250000001</v>
          </cell>
          <cell r="U795">
            <v>9.8616923437500006</v>
          </cell>
          <cell r="V795">
            <v>12.820200046875</v>
          </cell>
          <cell r="W795">
            <v>15.096121066406248</v>
          </cell>
        </row>
        <row r="796">
          <cell r="A796" t="str">
            <v>Kra</v>
          </cell>
          <cell r="B796">
            <v>58.333333333333336</v>
          </cell>
          <cell r="C796">
            <v>0.75</v>
          </cell>
          <cell r="D796">
            <v>1.125</v>
          </cell>
          <cell r="E796">
            <v>1.375</v>
          </cell>
          <cell r="F796">
            <v>1.375</v>
          </cell>
          <cell r="G796">
            <v>0.75</v>
          </cell>
          <cell r="H796">
            <v>1.625</v>
          </cell>
          <cell r="I796">
            <v>1.25</v>
          </cell>
          <cell r="J796">
            <v>1.625</v>
          </cell>
          <cell r="K796">
            <v>1.625</v>
          </cell>
          <cell r="L796">
            <v>1.75</v>
          </cell>
          <cell r="M796">
            <v>2</v>
          </cell>
          <cell r="N796">
            <v>1.25</v>
          </cell>
          <cell r="O796">
            <v>16.5</v>
          </cell>
          <cell r="P796">
            <v>6.4874999999999998</v>
          </cell>
          <cell r="Q796">
            <v>7.19625</v>
          </cell>
          <cell r="R796">
            <v>8.3341875000000005</v>
          </cell>
          <cell r="S796">
            <v>9.660365624999999</v>
          </cell>
          <cell r="T796">
            <v>31.678303124999999</v>
          </cell>
          <cell r="U796">
            <v>42.672904218750006</v>
          </cell>
          <cell r="V796">
            <v>55.474775484375002</v>
          </cell>
          <cell r="W796">
            <v>64.266513157031241</v>
          </cell>
        </row>
        <row r="797">
          <cell r="A797" t="str">
            <v>Niz</v>
          </cell>
          <cell r="B797">
            <v>47</v>
          </cell>
          <cell r="C797">
            <v>0.875</v>
          </cell>
          <cell r="D797">
            <v>1.125</v>
          </cell>
          <cell r="E797">
            <v>1.25</v>
          </cell>
          <cell r="F797">
            <v>1.25</v>
          </cell>
          <cell r="G797">
            <v>0.75</v>
          </cell>
          <cell r="H797">
            <v>1.25</v>
          </cell>
          <cell r="I797">
            <v>1.625</v>
          </cell>
          <cell r="J797">
            <v>1.5</v>
          </cell>
          <cell r="K797">
            <v>1.75</v>
          </cell>
          <cell r="L797">
            <v>1.75</v>
          </cell>
          <cell r="M797">
            <v>1.875</v>
          </cell>
          <cell r="N797">
            <v>1.25</v>
          </cell>
          <cell r="O797">
            <v>16.25</v>
          </cell>
          <cell r="P797">
            <v>5.8875000000000002</v>
          </cell>
          <cell r="Q797">
            <v>6.4987500000000011</v>
          </cell>
          <cell r="R797">
            <v>7.4955000000000007</v>
          </cell>
          <cell r="S797">
            <v>8.6483437500000004</v>
          </cell>
          <cell r="T797">
            <v>28.530093749999999</v>
          </cell>
          <cell r="U797">
            <v>38.480824687500004</v>
          </cell>
          <cell r="V797">
            <v>50.025072093750012</v>
          </cell>
          <cell r="W797">
            <v>57.705278414062505</v>
          </cell>
        </row>
        <row r="798">
          <cell r="A798" t="str">
            <v>Nov</v>
          </cell>
          <cell r="B798">
            <v>42.333333333333336</v>
          </cell>
          <cell r="C798">
            <v>0.5</v>
          </cell>
          <cell r="D798">
            <v>0.75</v>
          </cell>
          <cell r="E798">
            <v>1</v>
          </cell>
          <cell r="F798">
            <v>1.125</v>
          </cell>
          <cell r="G798">
            <v>0.75</v>
          </cell>
          <cell r="H798">
            <v>1</v>
          </cell>
          <cell r="I798">
            <v>1</v>
          </cell>
          <cell r="J798">
            <v>0.75</v>
          </cell>
          <cell r="K798">
            <v>1</v>
          </cell>
          <cell r="L798">
            <v>1</v>
          </cell>
          <cell r="M798">
            <v>1.125</v>
          </cell>
          <cell r="N798">
            <v>1</v>
          </cell>
          <cell r="O798">
            <v>11</v>
          </cell>
          <cell r="P798">
            <v>3.4875000000000003</v>
          </cell>
          <cell r="Q798">
            <v>3.8737500000000007</v>
          </cell>
          <cell r="R798">
            <v>4.4913750000000014</v>
          </cell>
          <cell r="S798">
            <v>5.2126125000000005</v>
          </cell>
          <cell r="T798">
            <v>17.065237500000002</v>
          </cell>
          <cell r="U798">
            <v>22.980067500000008</v>
          </cell>
          <cell r="V798">
            <v>29.874087750000012</v>
          </cell>
          <cell r="W798">
            <v>34.649276756250011</v>
          </cell>
        </row>
        <row r="799">
          <cell r="A799" t="str">
            <v>Syk</v>
          </cell>
          <cell r="B799">
            <v>33.666666666666664</v>
          </cell>
          <cell r="C799">
            <v>0.5</v>
          </cell>
          <cell r="D799">
            <v>0.625</v>
          </cell>
          <cell r="E799">
            <v>0.875</v>
          </cell>
          <cell r="F799">
            <v>1</v>
          </cell>
          <cell r="G799">
            <v>0.5</v>
          </cell>
          <cell r="H799">
            <v>1</v>
          </cell>
          <cell r="I799">
            <v>0.875</v>
          </cell>
          <cell r="J799">
            <v>0.625</v>
          </cell>
          <cell r="K799">
            <v>1</v>
          </cell>
          <cell r="L799">
            <v>1</v>
          </cell>
          <cell r="M799">
            <v>1</v>
          </cell>
          <cell r="N799">
            <v>0.75</v>
          </cell>
          <cell r="O799">
            <v>9.75</v>
          </cell>
          <cell r="P799">
            <v>3.3750000000000004</v>
          </cell>
          <cell r="Q799">
            <v>3.7275000000000009</v>
          </cell>
          <cell r="R799">
            <v>4.3012500000000014</v>
          </cell>
          <cell r="S799">
            <v>4.9654500000000006</v>
          </cell>
          <cell r="T799">
            <v>16.369200000000003</v>
          </cell>
          <cell r="U799">
            <v>22.075218750000008</v>
          </cell>
          <cell r="V799">
            <v>28.697784375000012</v>
          </cell>
          <cell r="W799">
            <v>33.120082368750012</v>
          </cell>
        </row>
        <row r="800">
          <cell r="A800" t="str">
            <v>Tyu</v>
          </cell>
          <cell r="B800">
            <v>52.666666666666664</v>
          </cell>
          <cell r="C800">
            <v>0.625</v>
          </cell>
          <cell r="D800">
            <v>1</v>
          </cell>
          <cell r="E800">
            <v>1.25</v>
          </cell>
          <cell r="F800">
            <v>1.25</v>
          </cell>
          <cell r="G800">
            <v>0.625</v>
          </cell>
          <cell r="H800">
            <v>1.625</v>
          </cell>
          <cell r="I800">
            <v>1.125</v>
          </cell>
          <cell r="J800">
            <v>1.125</v>
          </cell>
          <cell r="K800">
            <v>1.25</v>
          </cell>
          <cell r="L800">
            <v>1.625</v>
          </cell>
          <cell r="M800">
            <v>1.5</v>
          </cell>
          <cell r="N800">
            <v>1.125</v>
          </cell>
          <cell r="O800">
            <v>14.125</v>
          </cell>
          <cell r="P800">
            <v>5.0625</v>
          </cell>
          <cell r="Q800">
            <v>5.5912500000000005</v>
          </cell>
          <cell r="R800">
            <v>6.4518750000000002</v>
          </cell>
          <cell r="S800">
            <v>7.448175</v>
          </cell>
          <cell r="T800">
            <v>24.553799999999999</v>
          </cell>
          <cell r="U800">
            <v>33.112828125</v>
          </cell>
          <cell r="V800">
            <v>43.046676562500004</v>
          </cell>
          <cell r="W800">
            <v>49.680123553124993</v>
          </cell>
        </row>
        <row r="801">
          <cell r="A801" t="str">
            <v>Ufa</v>
          </cell>
          <cell r="B801">
            <v>31.666666666666668</v>
          </cell>
          <cell r="C801">
            <v>0.5</v>
          </cell>
          <cell r="D801">
            <v>0.875</v>
          </cell>
          <cell r="E801">
            <v>0.875</v>
          </cell>
          <cell r="F801">
            <v>1</v>
          </cell>
          <cell r="G801">
            <v>0.75</v>
          </cell>
          <cell r="H801">
            <v>1</v>
          </cell>
          <cell r="I801">
            <v>0.75</v>
          </cell>
          <cell r="J801">
            <v>0.875</v>
          </cell>
          <cell r="K801">
            <v>1.125</v>
          </cell>
          <cell r="L801">
            <v>1.125</v>
          </cell>
          <cell r="M801">
            <v>1.25</v>
          </cell>
          <cell r="N801">
            <v>0.625</v>
          </cell>
          <cell r="O801">
            <v>10.75</v>
          </cell>
          <cell r="P801">
            <v>4.2374999999999998</v>
          </cell>
          <cell r="Q801">
            <v>4.6837500000000007</v>
          </cell>
          <cell r="R801">
            <v>5.4082500000000007</v>
          </cell>
          <cell r="S801">
            <v>6.2480062500000004</v>
          </cell>
          <cell r="T801">
            <v>20.577506250000003</v>
          </cell>
          <cell r="U801">
            <v>27.744831562500007</v>
          </cell>
          <cell r="V801">
            <v>36.068281031250017</v>
          </cell>
          <cell r="W801">
            <v>41.654968692187509</v>
          </cell>
        </row>
        <row r="802">
          <cell r="A802" t="str">
            <v>Vla</v>
          </cell>
          <cell r="B802">
            <v>88.666666666666671</v>
          </cell>
          <cell r="C802">
            <v>1.125</v>
          </cell>
          <cell r="D802">
            <v>1.375</v>
          </cell>
          <cell r="E802">
            <v>1.5</v>
          </cell>
          <cell r="F802">
            <v>1.25</v>
          </cell>
          <cell r="G802">
            <v>1.375</v>
          </cell>
          <cell r="H802">
            <v>1.5</v>
          </cell>
          <cell r="I802">
            <v>1.25</v>
          </cell>
          <cell r="J802">
            <v>1.125</v>
          </cell>
          <cell r="K802">
            <v>1.375</v>
          </cell>
          <cell r="L802">
            <v>1.75</v>
          </cell>
          <cell r="M802">
            <v>1.875</v>
          </cell>
          <cell r="N802">
            <v>1.75</v>
          </cell>
          <cell r="O802">
            <v>17.25</v>
          </cell>
          <cell r="P802">
            <v>5.9250000000000007</v>
          </cell>
          <cell r="Q802">
            <v>6.5475000000000012</v>
          </cell>
          <cell r="R802">
            <v>7.5588750000000005</v>
          </cell>
          <cell r="S802">
            <v>8.7307312499999998</v>
          </cell>
          <cell r="T802">
            <v>28.762106250000002</v>
          </cell>
          <cell r="U802">
            <v>38.782440937500006</v>
          </cell>
          <cell r="V802">
            <v>50.417173218750008</v>
          </cell>
          <cell r="W802">
            <v>58.215009876562505</v>
          </cell>
        </row>
        <row r="803">
          <cell r="A803" t="str">
            <v>Vol</v>
          </cell>
          <cell r="B803">
            <v>12</v>
          </cell>
          <cell r="C803">
            <v>0.625</v>
          </cell>
          <cell r="D803">
            <v>0.75</v>
          </cell>
          <cell r="E803">
            <v>1</v>
          </cell>
          <cell r="F803">
            <v>1</v>
          </cell>
          <cell r="G803">
            <v>0.625</v>
          </cell>
          <cell r="H803">
            <v>1.125</v>
          </cell>
          <cell r="I803">
            <v>0.875</v>
          </cell>
          <cell r="J803">
            <v>0.75</v>
          </cell>
          <cell r="K803">
            <v>1.125</v>
          </cell>
          <cell r="L803">
            <v>1.25</v>
          </cell>
          <cell r="M803">
            <v>1.25</v>
          </cell>
          <cell r="N803">
            <v>1</v>
          </cell>
          <cell r="O803">
            <v>11.375</v>
          </cell>
          <cell r="P803">
            <v>4.2</v>
          </cell>
          <cell r="Q803">
            <v>4.6350000000000007</v>
          </cell>
          <cell r="R803">
            <v>5.3448750000000009</v>
          </cell>
          <cell r="S803">
            <v>6.1656187500000001</v>
          </cell>
          <cell r="T803">
            <v>20.345493750000003</v>
          </cell>
          <cell r="U803">
            <v>27.443215312500008</v>
          </cell>
          <cell r="V803">
            <v>35.676179906250013</v>
          </cell>
          <cell r="W803">
            <v>41.14523722968751</v>
          </cell>
        </row>
        <row r="804">
          <cell r="A804" t="str">
            <v>Vor</v>
          </cell>
          <cell r="B804">
            <v>23.333333333333332</v>
          </cell>
          <cell r="C804">
            <v>0.625</v>
          </cell>
          <cell r="D804">
            <v>0.75</v>
          </cell>
          <cell r="E804">
            <v>0.875</v>
          </cell>
          <cell r="F804">
            <v>1</v>
          </cell>
          <cell r="G804">
            <v>0.625</v>
          </cell>
          <cell r="H804">
            <v>0.75</v>
          </cell>
          <cell r="I804">
            <v>1</v>
          </cell>
          <cell r="J804">
            <v>0.625</v>
          </cell>
          <cell r="K804">
            <v>1</v>
          </cell>
          <cell r="L804">
            <v>1.125</v>
          </cell>
          <cell r="M804">
            <v>1.25</v>
          </cell>
          <cell r="N804">
            <v>0.75</v>
          </cell>
          <cell r="O804">
            <v>10.375</v>
          </cell>
          <cell r="P804">
            <v>4.1624999999999996</v>
          </cell>
          <cell r="Q804">
            <v>4.5862500000000006</v>
          </cell>
          <cell r="R804">
            <v>5.2815000000000003</v>
          </cell>
          <cell r="S804">
            <v>6.0832312500000008</v>
          </cell>
          <cell r="T804">
            <v>20.113481250000003</v>
          </cell>
          <cell r="U804">
            <v>27.141599062500006</v>
          </cell>
          <cell r="V804">
            <v>35.284078781250017</v>
          </cell>
          <cell r="W804">
            <v>40.63550576718751</v>
          </cell>
        </row>
        <row r="805">
          <cell r="A805" t="str">
            <v>97#1</v>
          </cell>
          <cell r="B805">
            <v>0</v>
          </cell>
          <cell r="C805">
            <v>0</v>
          </cell>
          <cell r="D805">
            <v>0</v>
          </cell>
          <cell r="E805">
            <v>0.125</v>
          </cell>
          <cell r="F805">
            <v>0.5</v>
          </cell>
          <cell r="G805">
            <v>0.375</v>
          </cell>
          <cell r="H805">
            <v>0.5</v>
          </cell>
          <cell r="I805">
            <v>0.625</v>
          </cell>
          <cell r="J805">
            <v>0.625</v>
          </cell>
          <cell r="K805">
            <v>0.75</v>
          </cell>
          <cell r="L805">
            <v>0.625</v>
          </cell>
          <cell r="M805">
            <v>0.875</v>
          </cell>
          <cell r="N805">
            <v>0.75</v>
          </cell>
          <cell r="O805">
            <v>5.75</v>
          </cell>
          <cell r="P805">
            <v>2.625</v>
          </cell>
          <cell r="Q805">
            <v>2.9175</v>
          </cell>
          <cell r="R805">
            <v>3.3843749999999999</v>
          </cell>
          <cell r="S805">
            <v>3.9300562499999998</v>
          </cell>
          <cell r="T805">
            <v>12.856931250000001</v>
          </cell>
          <cell r="U805">
            <v>17.310454687500002</v>
          </cell>
          <cell r="V805">
            <v>22.50359109375</v>
          </cell>
          <cell r="W805">
            <v>26.114390432812499</v>
          </cell>
        </row>
        <row r="806">
          <cell r="A806" t="str">
            <v>97#2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0.125</v>
          </cell>
          <cell r="G806">
            <v>0.375</v>
          </cell>
          <cell r="H806">
            <v>0.5</v>
          </cell>
          <cell r="I806">
            <v>0.5</v>
          </cell>
          <cell r="J806">
            <v>0.625</v>
          </cell>
          <cell r="K806">
            <v>0.625</v>
          </cell>
          <cell r="L806">
            <v>0.75</v>
          </cell>
          <cell r="M806">
            <v>0.75</v>
          </cell>
          <cell r="N806">
            <v>0.625</v>
          </cell>
          <cell r="O806">
            <v>4.875</v>
          </cell>
          <cell r="P806">
            <v>2.5125000000000002</v>
          </cell>
          <cell r="Q806">
            <v>2.7712500000000002</v>
          </cell>
          <cell r="R806">
            <v>3.1942500000000003</v>
          </cell>
          <cell r="S806">
            <v>3.6828937499999999</v>
          </cell>
          <cell r="T806">
            <v>12.160893750000001</v>
          </cell>
          <cell r="U806">
            <v>16.405605937499999</v>
          </cell>
          <cell r="V806">
            <v>21.32728771875</v>
          </cell>
          <cell r="W806">
            <v>24.585196045312497</v>
          </cell>
        </row>
        <row r="807">
          <cell r="A807" t="str">
            <v>98#1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0.5</v>
          </cell>
          <cell r="M807">
            <v>0.625</v>
          </cell>
          <cell r="N807">
            <v>0.5</v>
          </cell>
          <cell r="O807">
            <v>1.625</v>
          </cell>
          <cell r="P807">
            <v>2.1</v>
          </cell>
          <cell r="Q807">
            <v>2.3175000000000003</v>
          </cell>
          <cell r="R807">
            <v>2.6724375000000005</v>
          </cell>
          <cell r="S807">
            <v>3.0828093750000001</v>
          </cell>
          <cell r="T807">
            <v>10.172746875000001</v>
          </cell>
          <cell r="U807">
            <v>13.721607656250004</v>
          </cell>
          <cell r="V807">
            <v>17.838089953125007</v>
          </cell>
          <cell r="W807">
            <v>20.572618614843755</v>
          </cell>
        </row>
        <row r="808">
          <cell r="A808" t="str">
            <v>98#2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0.125</v>
          </cell>
          <cell r="N808">
            <v>0.625</v>
          </cell>
          <cell r="O808">
            <v>0.75</v>
          </cell>
          <cell r="P808">
            <v>1.9125000000000001</v>
          </cell>
          <cell r="Q808">
            <v>2.1112500000000001</v>
          </cell>
          <cell r="R808">
            <v>2.4352499999999999</v>
          </cell>
          <cell r="S808">
            <v>2.8100437499999993</v>
          </cell>
          <cell r="T808">
            <v>9.269043749999998</v>
          </cell>
          <cell r="U808">
            <v>12.501608437499998</v>
          </cell>
          <cell r="V808">
            <v>16.25209096875</v>
          </cell>
          <cell r="W808">
            <v>18.748719782812497</v>
          </cell>
        </row>
        <row r="809">
          <cell r="A809" t="str">
            <v>Mos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 t="str">
            <v>Con</v>
          </cell>
          <cell r="B810">
            <v>278</v>
          </cell>
          <cell r="C810">
            <v>8.625</v>
          </cell>
          <cell r="D810">
            <v>11.625</v>
          </cell>
          <cell r="E810">
            <v>13.75</v>
          </cell>
          <cell r="F810">
            <v>15.125</v>
          </cell>
          <cell r="G810">
            <v>10</v>
          </cell>
          <cell r="H810">
            <v>16.125</v>
          </cell>
          <cell r="I810">
            <v>14.375</v>
          </cell>
          <cell r="J810">
            <v>14.125</v>
          </cell>
          <cell r="K810">
            <v>16.75</v>
          </cell>
          <cell r="L810">
            <v>19.125</v>
          </cell>
          <cell r="M810">
            <v>20.5</v>
          </cell>
          <cell r="N810">
            <v>15.375</v>
          </cell>
          <cell r="O810">
            <v>175.5</v>
          </cell>
          <cell r="P810">
            <v>67.875</v>
          </cell>
          <cell r="Q810">
            <v>75.075000000000003</v>
          </cell>
          <cell r="R810">
            <v>86.738437500000003</v>
          </cell>
          <cell r="S810">
            <v>100.27204687499999</v>
          </cell>
          <cell r="T810">
            <v>329.96048437499996</v>
          </cell>
          <cell r="U810">
            <v>444.80861953125003</v>
          </cell>
          <cell r="V810">
            <v>578.25120539062505</v>
          </cell>
          <cell r="W810">
            <v>668.22372048046873</v>
          </cell>
        </row>
        <row r="812">
          <cell r="A812" t="str">
            <v>PCM-4 one-time</v>
          </cell>
        </row>
        <row r="813">
          <cell r="B813">
            <v>35765</v>
          </cell>
          <cell r="C813">
            <v>35796</v>
          </cell>
          <cell r="D813">
            <v>35827</v>
          </cell>
          <cell r="E813">
            <v>35855</v>
          </cell>
          <cell r="F813">
            <v>35886</v>
          </cell>
          <cell r="G813">
            <v>35916</v>
          </cell>
          <cell r="H813">
            <v>35947</v>
          </cell>
          <cell r="I813">
            <v>35977</v>
          </cell>
          <cell r="J813">
            <v>36008</v>
          </cell>
          <cell r="K813">
            <v>36039</v>
          </cell>
          <cell r="L813">
            <v>36069</v>
          </cell>
          <cell r="M813">
            <v>36100</v>
          </cell>
          <cell r="N813">
            <v>36130</v>
          </cell>
          <cell r="O813" t="str">
            <v>Total 98</v>
          </cell>
          <cell r="P813" t="str">
            <v>Q1-99</v>
          </cell>
          <cell r="Q813" t="str">
            <v>Q2-99</v>
          </cell>
          <cell r="R813" t="str">
            <v>Q3-99</v>
          </cell>
          <cell r="S813" t="str">
            <v>Q4-99</v>
          </cell>
          <cell r="T813" t="str">
            <v>Total 99</v>
          </cell>
          <cell r="U813">
            <v>2000</v>
          </cell>
          <cell r="V813">
            <v>2001</v>
          </cell>
          <cell r="W813">
            <v>2002</v>
          </cell>
        </row>
        <row r="814">
          <cell r="A814" t="str">
            <v>Ark</v>
          </cell>
          <cell r="B814">
            <v>700</v>
          </cell>
          <cell r="C814">
            <v>700</v>
          </cell>
          <cell r="D814">
            <v>700</v>
          </cell>
          <cell r="E814">
            <v>700</v>
          </cell>
          <cell r="F814">
            <v>700</v>
          </cell>
          <cell r="G814">
            <v>700</v>
          </cell>
          <cell r="H814">
            <v>700</v>
          </cell>
          <cell r="I814">
            <v>700</v>
          </cell>
          <cell r="J814">
            <v>700</v>
          </cell>
          <cell r="K814">
            <v>700</v>
          </cell>
          <cell r="L814">
            <v>700</v>
          </cell>
          <cell r="M814">
            <v>700</v>
          </cell>
          <cell r="N814">
            <v>700</v>
          </cell>
          <cell r="P814">
            <v>630</v>
          </cell>
          <cell r="Q814">
            <v>630</v>
          </cell>
          <cell r="R814">
            <v>630</v>
          </cell>
          <cell r="S814">
            <v>630</v>
          </cell>
          <cell r="U814">
            <v>567</v>
          </cell>
          <cell r="V814">
            <v>510.3</v>
          </cell>
          <cell r="W814">
            <v>459.27000000000004</v>
          </cell>
        </row>
        <row r="815">
          <cell r="A815" t="str">
            <v>Eka</v>
          </cell>
          <cell r="B815">
            <v>700</v>
          </cell>
          <cell r="C815">
            <v>700</v>
          </cell>
          <cell r="D815">
            <v>700</v>
          </cell>
          <cell r="E815">
            <v>700</v>
          </cell>
          <cell r="F815">
            <v>700</v>
          </cell>
          <cell r="G815">
            <v>700</v>
          </cell>
          <cell r="H815">
            <v>700</v>
          </cell>
          <cell r="I815">
            <v>700</v>
          </cell>
          <cell r="J815">
            <v>700</v>
          </cell>
          <cell r="K815">
            <v>700</v>
          </cell>
          <cell r="L815">
            <v>700</v>
          </cell>
          <cell r="M815">
            <v>700</v>
          </cell>
          <cell r="N815">
            <v>700</v>
          </cell>
          <cell r="P815">
            <v>630</v>
          </cell>
          <cell r="Q815">
            <v>630</v>
          </cell>
          <cell r="R815">
            <v>630</v>
          </cell>
          <cell r="S815">
            <v>630</v>
          </cell>
          <cell r="U815">
            <v>567</v>
          </cell>
          <cell r="V815">
            <v>510.3</v>
          </cell>
          <cell r="W815">
            <v>459.27000000000004</v>
          </cell>
        </row>
        <row r="816">
          <cell r="A816" t="str">
            <v>Irk</v>
          </cell>
          <cell r="B816">
            <v>700</v>
          </cell>
          <cell r="C816">
            <v>700</v>
          </cell>
          <cell r="D816">
            <v>700</v>
          </cell>
          <cell r="E816">
            <v>700</v>
          </cell>
          <cell r="F816">
            <v>700</v>
          </cell>
          <cell r="G816">
            <v>700</v>
          </cell>
          <cell r="H816">
            <v>700</v>
          </cell>
          <cell r="I816">
            <v>700</v>
          </cell>
          <cell r="J816">
            <v>700</v>
          </cell>
          <cell r="K816">
            <v>700</v>
          </cell>
          <cell r="L816">
            <v>700</v>
          </cell>
          <cell r="M816">
            <v>700</v>
          </cell>
          <cell r="N816">
            <v>700</v>
          </cell>
          <cell r="P816">
            <v>630</v>
          </cell>
          <cell r="Q816">
            <v>630</v>
          </cell>
          <cell r="R816">
            <v>630</v>
          </cell>
          <cell r="S816">
            <v>630</v>
          </cell>
          <cell r="U816">
            <v>567</v>
          </cell>
          <cell r="V816">
            <v>510.3</v>
          </cell>
          <cell r="W816">
            <v>459.27000000000004</v>
          </cell>
        </row>
        <row r="817">
          <cell r="A817" t="str">
            <v>Kha</v>
          </cell>
          <cell r="B817">
            <v>700</v>
          </cell>
          <cell r="C817">
            <v>700</v>
          </cell>
          <cell r="D817">
            <v>700</v>
          </cell>
          <cell r="E817">
            <v>700</v>
          </cell>
          <cell r="F817">
            <v>700</v>
          </cell>
          <cell r="G817">
            <v>700</v>
          </cell>
          <cell r="H817">
            <v>700</v>
          </cell>
          <cell r="I817">
            <v>700</v>
          </cell>
          <cell r="J817">
            <v>700</v>
          </cell>
          <cell r="K817">
            <v>700</v>
          </cell>
          <cell r="L817">
            <v>700</v>
          </cell>
          <cell r="M817">
            <v>700</v>
          </cell>
          <cell r="N817">
            <v>700</v>
          </cell>
          <cell r="P817">
            <v>630</v>
          </cell>
          <cell r="Q817">
            <v>630</v>
          </cell>
          <cell r="R817">
            <v>630</v>
          </cell>
          <cell r="S817">
            <v>630</v>
          </cell>
          <cell r="U817">
            <v>567</v>
          </cell>
          <cell r="V817">
            <v>510.3</v>
          </cell>
          <cell r="W817">
            <v>459.27000000000004</v>
          </cell>
        </row>
        <row r="818">
          <cell r="A818" t="str">
            <v>Kra</v>
          </cell>
          <cell r="B818">
            <v>700</v>
          </cell>
          <cell r="C818">
            <v>700</v>
          </cell>
          <cell r="D818">
            <v>700</v>
          </cell>
          <cell r="E818">
            <v>700</v>
          </cell>
          <cell r="F818">
            <v>700</v>
          </cell>
          <cell r="G818">
            <v>700</v>
          </cell>
          <cell r="H818">
            <v>700</v>
          </cell>
          <cell r="I818">
            <v>700</v>
          </cell>
          <cell r="J818">
            <v>700</v>
          </cell>
          <cell r="K818">
            <v>700</v>
          </cell>
          <cell r="L818">
            <v>700</v>
          </cell>
          <cell r="M818">
            <v>700</v>
          </cell>
          <cell r="N818">
            <v>700</v>
          </cell>
          <cell r="P818">
            <v>630</v>
          </cell>
          <cell r="Q818">
            <v>630</v>
          </cell>
          <cell r="R818">
            <v>630</v>
          </cell>
          <cell r="S818">
            <v>630</v>
          </cell>
          <cell r="U818">
            <v>567</v>
          </cell>
          <cell r="V818">
            <v>510.3</v>
          </cell>
          <cell r="W818">
            <v>459.27000000000004</v>
          </cell>
        </row>
        <row r="819">
          <cell r="A819" t="str">
            <v>Niz</v>
          </cell>
          <cell r="B819">
            <v>700</v>
          </cell>
          <cell r="C819">
            <v>700</v>
          </cell>
          <cell r="D819">
            <v>700</v>
          </cell>
          <cell r="E819">
            <v>700</v>
          </cell>
          <cell r="F819">
            <v>700</v>
          </cell>
          <cell r="G819">
            <v>700</v>
          </cell>
          <cell r="H819">
            <v>700</v>
          </cell>
          <cell r="I819">
            <v>700</v>
          </cell>
          <cell r="J819">
            <v>700</v>
          </cell>
          <cell r="K819">
            <v>700</v>
          </cell>
          <cell r="L819">
            <v>700</v>
          </cell>
          <cell r="M819">
            <v>700</v>
          </cell>
          <cell r="N819">
            <v>700</v>
          </cell>
          <cell r="P819">
            <v>630</v>
          </cell>
          <cell r="Q819">
            <v>630</v>
          </cell>
          <cell r="R819">
            <v>630</v>
          </cell>
          <cell r="S819">
            <v>630</v>
          </cell>
          <cell r="U819">
            <v>567</v>
          </cell>
          <cell r="V819">
            <v>510.3</v>
          </cell>
          <cell r="W819">
            <v>459.27000000000004</v>
          </cell>
        </row>
        <row r="820">
          <cell r="A820" t="str">
            <v>Nov</v>
          </cell>
          <cell r="B820">
            <v>700</v>
          </cell>
          <cell r="C820">
            <v>700</v>
          </cell>
          <cell r="D820">
            <v>700</v>
          </cell>
          <cell r="E820">
            <v>700</v>
          </cell>
          <cell r="F820">
            <v>700</v>
          </cell>
          <cell r="G820">
            <v>700</v>
          </cell>
          <cell r="H820">
            <v>700</v>
          </cell>
          <cell r="I820">
            <v>700</v>
          </cell>
          <cell r="J820">
            <v>700</v>
          </cell>
          <cell r="K820">
            <v>700</v>
          </cell>
          <cell r="L820">
            <v>700</v>
          </cell>
          <cell r="M820">
            <v>700</v>
          </cell>
          <cell r="N820">
            <v>700</v>
          </cell>
          <cell r="P820">
            <v>630</v>
          </cell>
          <cell r="Q820">
            <v>630</v>
          </cell>
          <cell r="R820">
            <v>630</v>
          </cell>
          <cell r="S820">
            <v>630</v>
          </cell>
          <cell r="U820">
            <v>567</v>
          </cell>
          <cell r="V820">
            <v>510.3</v>
          </cell>
          <cell r="W820">
            <v>459.27000000000004</v>
          </cell>
        </row>
        <row r="821">
          <cell r="A821" t="str">
            <v>Syk</v>
          </cell>
          <cell r="B821">
            <v>700</v>
          </cell>
          <cell r="C821">
            <v>700</v>
          </cell>
          <cell r="D821">
            <v>700</v>
          </cell>
          <cell r="E821">
            <v>700</v>
          </cell>
          <cell r="F821">
            <v>700</v>
          </cell>
          <cell r="G821">
            <v>700</v>
          </cell>
          <cell r="H821">
            <v>700</v>
          </cell>
          <cell r="I821">
            <v>700</v>
          </cell>
          <cell r="J821">
            <v>700</v>
          </cell>
          <cell r="K821">
            <v>700</v>
          </cell>
          <cell r="L821">
            <v>700</v>
          </cell>
          <cell r="M821">
            <v>700</v>
          </cell>
          <cell r="N821">
            <v>700</v>
          </cell>
          <cell r="P821">
            <v>630</v>
          </cell>
          <cell r="Q821">
            <v>630</v>
          </cell>
          <cell r="R821">
            <v>630</v>
          </cell>
          <cell r="S821">
            <v>630</v>
          </cell>
          <cell r="U821">
            <v>567</v>
          </cell>
          <cell r="V821">
            <v>510.3</v>
          </cell>
          <cell r="W821">
            <v>459.27000000000004</v>
          </cell>
        </row>
        <row r="822">
          <cell r="A822" t="str">
            <v>Tyu</v>
          </cell>
          <cell r="B822">
            <v>700</v>
          </cell>
          <cell r="C822">
            <v>700</v>
          </cell>
          <cell r="D822">
            <v>700</v>
          </cell>
          <cell r="E822">
            <v>700</v>
          </cell>
          <cell r="F822">
            <v>700</v>
          </cell>
          <cell r="G822">
            <v>700</v>
          </cell>
          <cell r="H822">
            <v>700</v>
          </cell>
          <cell r="I822">
            <v>700</v>
          </cell>
          <cell r="J822">
            <v>700</v>
          </cell>
          <cell r="K822">
            <v>700</v>
          </cell>
          <cell r="L822">
            <v>700</v>
          </cell>
          <cell r="M822">
            <v>700</v>
          </cell>
          <cell r="N822">
            <v>700</v>
          </cell>
          <cell r="P822">
            <v>630</v>
          </cell>
          <cell r="Q822">
            <v>630</v>
          </cell>
          <cell r="R822">
            <v>630</v>
          </cell>
          <cell r="S822">
            <v>630</v>
          </cell>
          <cell r="U822">
            <v>567</v>
          </cell>
          <cell r="V822">
            <v>510.3</v>
          </cell>
          <cell r="W822">
            <v>459.27000000000004</v>
          </cell>
        </row>
        <row r="823">
          <cell r="A823" t="str">
            <v>Ufa</v>
          </cell>
          <cell r="B823">
            <v>700</v>
          </cell>
          <cell r="C823">
            <v>700</v>
          </cell>
          <cell r="D823">
            <v>700</v>
          </cell>
          <cell r="E823">
            <v>700</v>
          </cell>
          <cell r="F823">
            <v>700</v>
          </cell>
          <cell r="G823">
            <v>700</v>
          </cell>
          <cell r="H823">
            <v>700</v>
          </cell>
          <cell r="I823">
            <v>700</v>
          </cell>
          <cell r="J823">
            <v>700</v>
          </cell>
          <cell r="K823">
            <v>700</v>
          </cell>
          <cell r="L823">
            <v>700</v>
          </cell>
          <cell r="M823">
            <v>700</v>
          </cell>
          <cell r="N823">
            <v>700</v>
          </cell>
          <cell r="P823">
            <v>630</v>
          </cell>
          <cell r="Q823">
            <v>630</v>
          </cell>
          <cell r="R823">
            <v>630</v>
          </cell>
          <cell r="S823">
            <v>630</v>
          </cell>
          <cell r="U823">
            <v>567</v>
          </cell>
          <cell r="V823">
            <v>510.3</v>
          </cell>
          <cell r="W823">
            <v>459.27000000000004</v>
          </cell>
        </row>
        <row r="824">
          <cell r="A824" t="str">
            <v>Vla</v>
          </cell>
          <cell r="B824">
            <v>700</v>
          </cell>
          <cell r="C824">
            <v>700</v>
          </cell>
          <cell r="D824">
            <v>700</v>
          </cell>
          <cell r="E824">
            <v>700</v>
          </cell>
          <cell r="F824">
            <v>700</v>
          </cell>
          <cell r="G824">
            <v>700</v>
          </cell>
          <cell r="H824">
            <v>700</v>
          </cell>
          <cell r="I824">
            <v>700</v>
          </cell>
          <cell r="J824">
            <v>700</v>
          </cell>
          <cell r="K824">
            <v>700</v>
          </cell>
          <cell r="L824">
            <v>700</v>
          </cell>
          <cell r="M824">
            <v>700</v>
          </cell>
          <cell r="N824">
            <v>700</v>
          </cell>
          <cell r="P824">
            <v>630</v>
          </cell>
          <cell r="Q824">
            <v>630</v>
          </cell>
          <cell r="R824">
            <v>630</v>
          </cell>
          <cell r="S824">
            <v>630</v>
          </cell>
          <cell r="U824">
            <v>567</v>
          </cell>
          <cell r="V824">
            <v>510.3</v>
          </cell>
          <cell r="W824">
            <v>459.27000000000004</v>
          </cell>
        </row>
        <row r="825">
          <cell r="A825" t="str">
            <v>Vol</v>
          </cell>
          <cell r="B825">
            <v>700</v>
          </cell>
          <cell r="C825">
            <v>700</v>
          </cell>
          <cell r="D825">
            <v>700</v>
          </cell>
          <cell r="E825">
            <v>700</v>
          </cell>
          <cell r="F825">
            <v>700</v>
          </cell>
          <cell r="G825">
            <v>700</v>
          </cell>
          <cell r="H825">
            <v>700</v>
          </cell>
          <cell r="I825">
            <v>700</v>
          </cell>
          <cell r="J825">
            <v>700</v>
          </cell>
          <cell r="K825">
            <v>700</v>
          </cell>
          <cell r="L825">
            <v>700</v>
          </cell>
          <cell r="M825">
            <v>700</v>
          </cell>
          <cell r="N825">
            <v>700</v>
          </cell>
          <cell r="P825">
            <v>630</v>
          </cell>
          <cell r="Q825">
            <v>630</v>
          </cell>
          <cell r="R825">
            <v>630</v>
          </cell>
          <cell r="S825">
            <v>630</v>
          </cell>
          <cell r="U825">
            <v>567</v>
          </cell>
          <cell r="V825">
            <v>510.3</v>
          </cell>
          <cell r="W825">
            <v>459.27000000000004</v>
          </cell>
        </row>
        <row r="826">
          <cell r="A826" t="str">
            <v>Vor</v>
          </cell>
          <cell r="B826">
            <v>700</v>
          </cell>
          <cell r="C826">
            <v>700</v>
          </cell>
          <cell r="D826">
            <v>700</v>
          </cell>
          <cell r="E826">
            <v>700</v>
          </cell>
          <cell r="F826">
            <v>700</v>
          </cell>
          <cell r="G826">
            <v>700</v>
          </cell>
          <cell r="H826">
            <v>700</v>
          </cell>
          <cell r="I826">
            <v>700</v>
          </cell>
          <cell r="J826">
            <v>700</v>
          </cell>
          <cell r="K826">
            <v>700</v>
          </cell>
          <cell r="L826">
            <v>700</v>
          </cell>
          <cell r="M826">
            <v>700</v>
          </cell>
          <cell r="N826">
            <v>700</v>
          </cell>
          <cell r="P826">
            <v>630</v>
          </cell>
          <cell r="Q826">
            <v>630</v>
          </cell>
          <cell r="R826">
            <v>630</v>
          </cell>
          <cell r="S826">
            <v>630</v>
          </cell>
          <cell r="U826">
            <v>567</v>
          </cell>
          <cell r="V826">
            <v>510.3</v>
          </cell>
          <cell r="W826">
            <v>459.27000000000004</v>
          </cell>
        </row>
        <row r="827">
          <cell r="A827" t="str">
            <v>97#1</v>
          </cell>
          <cell r="B827">
            <v>700</v>
          </cell>
          <cell r="C827">
            <v>700</v>
          </cell>
          <cell r="D827">
            <v>700</v>
          </cell>
          <cell r="E827">
            <v>700</v>
          </cell>
          <cell r="F827">
            <v>700</v>
          </cell>
          <cell r="G827">
            <v>700</v>
          </cell>
          <cell r="H827">
            <v>700</v>
          </cell>
          <cell r="I827">
            <v>700</v>
          </cell>
          <cell r="J827">
            <v>700</v>
          </cell>
          <cell r="K827">
            <v>700</v>
          </cell>
          <cell r="L827">
            <v>700</v>
          </cell>
          <cell r="M827">
            <v>700</v>
          </cell>
          <cell r="N827">
            <v>700</v>
          </cell>
          <cell r="P827">
            <v>630</v>
          </cell>
          <cell r="Q827">
            <v>630</v>
          </cell>
          <cell r="R827">
            <v>630</v>
          </cell>
          <cell r="S827">
            <v>630</v>
          </cell>
          <cell r="U827">
            <v>567</v>
          </cell>
          <cell r="V827">
            <v>510.3</v>
          </cell>
          <cell r="W827">
            <v>459.27000000000004</v>
          </cell>
        </row>
        <row r="828">
          <cell r="A828" t="str">
            <v>97#2</v>
          </cell>
          <cell r="B828">
            <v>700</v>
          </cell>
          <cell r="C828">
            <v>700</v>
          </cell>
          <cell r="D828">
            <v>700</v>
          </cell>
          <cell r="E828">
            <v>700</v>
          </cell>
          <cell r="F828">
            <v>700</v>
          </cell>
          <cell r="G828">
            <v>700</v>
          </cell>
          <cell r="H828">
            <v>700</v>
          </cell>
          <cell r="I828">
            <v>700</v>
          </cell>
          <cell r="J828">
            <v>700</v>
          </cell>
          <cell r="K828">
            <v>700</v>
          </cell>
          <cell r="L828">
            <v>700</v>
          </cell>
          <cell r="M828">
            <v>700</v>
          </cell>
          <cell r="N828">
            <v>700</v>
          </cell>
          <cell r="P828">
            <v>630</v>
          </cell>
          <cell r="Q828">
            <v>630</v>
          </cell>
          <cell r="R828">
            <v>630</v>
          </cell>
          <cell r="S828">
            <v>630</v>
          </cell>
          <cell r="U828">
            <v>567</v>
          </cell>
          <cell r="V828">
            <v>510.3</v>
          </cell>
          <cell r="W828">
            <v>459.27000000000004</v>
          </cell>
        </row>
        <row r="829">
          <cell r="A829" t="str">
            <v>98#1</v>
          </cell>
          <cell r="B829">
            <v>700</v>
          </cell>
          <cell r="C829">
            <v>700</v>
          </cell>
          <cell r="D829">
            <v>700</v>
          </cell>
          <cell r="E829">
            <v>700</v>
          </cell>
          <cell r="F829">
            <v>700</v>
          </cell>
          <cell r="G829">
            <v>700</v>
          </cell>
          <cell r="H829">
            <v>700</v>
          </cell>
          <cell r="I829">
            <v>700</v>
          </cell>
          <cell r="J829">
            <v>700</v>
          </cell>
          <cell r="K829">
            <v>700</v>
          </cell>
          <cell r="L829">
            <v>700</v>
          </cell>
          <cell r="M829">
            <v>700</v>
          </cell>
          <cell r="N829">
            <v>700</v>
          </cell>
          <cell r="P829">
            <v>630</v>
          </cell>
          <cell r="Q829">
            <v>630</v>
          </cell>
          <cell r="R829">
            <v>630</v>
          </cell>
          <cell r="S829">
            <v>630</v>
          </cell>
          <cell r="U829">
            <v>567</v>
          </cell>
          <cell r="V829">
            <v>510.3</v>
          </cell>
          <cell r="W829">
            <v>459.27000000000004</v>
          </cell>
        </row>
        <row r="830">
          <cell r="A830" t="str">
            <v>98#2</v>
          </cell>
          <cell r="B830">
            <v>700</v>
          </cell>
          <cell r="C830">
            <v>700</v>
          </cell>
          <cell r="D830">
            <v>700</v>
          </cell>
          <cell r="E830">
            <v>700</v>
          </cell>
          <cell r="F830">
            <v>700</v>
          </cell>
          <cell r="G830">
            <v>700</v>
          </cell>
          <cell r="H830">
            <v>700</v>
          </cell>
          <cell r="I830">
            <v>700</v>
          </cell>
          <cell r="J830">
            <v>700</v>
          </cell>
          <cell r="K830">
            <v>700</v>
          </cell>
          <cell r="L830">
            <v>700</v>
          </cell>
          <cell r="M830">
            <v>700</v>
          </cell>
          <cell r="N830">
            <v>700</v>
          </cell>
          <cell r="P830">
            <v>630</v>
          </cell>
          <cell r="Q830">
            <v>630</v>
          </cell>
          <cell r="R830">
            <v>630</v>
          </cell>
          <cell r="S830">
            <v>630</v>
          </cell>
          <cell r="U830">
            <v>567</v>
          </cell>
          <cell r="V830">
            <v>510.3</v>
          </cell>
          <cell r="W830">
            <v>459.27000000000004</v>
          </cell>
        </row>
        <row r="831">
          <cell r="A831" t="str">
            <v>Mos</v>
          </cell>
        </row>
        <row r="832">
          <cell r="A832" t="str">
            <v>Con</v>
          </cell>
          <cell r="B832">
            <v>700</v>
          </cell>
          <cell r="C832">
            <v>700</v>
          </cell>
          <cell r="D832">
            <v>700</v>
          </cell>
          <cell r="E832">
            <v>700</v>
          </cell>
          <cell r="F832">
            <v>700</v>
          </cell>
          <cell r="G832">
            <v>700</v>
          </cell>
          <cell r="H832">
            <v>700</v>
          </cell>
          <cell r="I832">
            <v>700</v>
          </cell>
          <cell r="J832">
            <v>700</v>
          </cell>
          <cell r="K832">
            <v>700</v>
          </cell>
          <cell r="L832">
            <v>700</v>
          </cell>
          <cell r="M832">
            <v>700</v>
          </cell>
          <cell r="N832">
            <v>700</v>
          </cell>
          <cell r="O832">
            <v>0</v>
          </cell>
          <cell r="P832">
            <v>630</v>
          </cell>
          <cell r="Q832">
            <v>630</v>
          </cell>
          <cell r="R832">
            <v>630</v>
          </cell>
          <cell r="S832">
            <v>630</v>
          </cell>
          <cell r="T832">
            <v>0</v>
          </cell>
          <cell r="U832">
            <v>567</v>
          </cell>
          <cell r="V832">
            <v>510.3</v>
          </cell>
          <cell r="W832">
            <v>459.27</v>
          </cell>
        </row>
        <row r="834">
          <cell r="A834" t="str">
            <v>PCM-4 monthly</v>
          </cell>
        </row>
        <row r="835">
          <cell r="B835">
            <v>35765</v>
          </cell>
          <cell r="C835">
            <v>35796</v>
          </cell>
          <cell r="D835">
            <v>35827</v>
          </cell>
          <cell r="E835">
            <v>35855</v>
          </cell>
          <cell r="F835">
            <v>35886</v>
          </cell>
          <cell r="G835">
            <v>35916</v>
          </cell>
          <cell r="H835">
            <v>35947</v>
          </cell>
          <cell r="I835">
            <v>35977</v>
          </cell>
          <cell r="J835">
            <v>36008</v>
          </cell>
          <cell r="K835">
            <v>36039</v>
          </cell>
          <cell r="L835">
            <v>36069</v>
          </cell>
          <cell r="M835">
            <v>36100</v>
          </cell>
          <cell r="N835">
            <v>36130</v>
          </cell>
          <cell r="O835" t="str">
            <v>Total 98</v>
          </cell>
          <cell r="P835" t="str">
            <v>Q1-99</v>
          </cell>
          <cell r="Q835" t="str">
            <v>Q2-99</v>
          </cell>
          <cell r="R835" t="str">
            <v>Q3-99</v>
          </cell>
          <cell r="S835" t="str">
            <v>Q4-99</v>
          </cell>
          <cell r="T835" t="str">
            <v>Total 99</v>
          </cell>
          <cell r="U835">
            <v>2000</v>
          </cell>
          <cell r="V835">
            <v>2001</v>
          </cell>
          <cell r="W835">
            <v>2002</v>
          </cell>
        </row>
        <row r="836">
          <cell r="A836" t="str">
            <v>Ark</v>
          </cell>
          <cell r="B836">
            <v>50</v>
          </cell>
          <cell r="C836">
            <v>50</v>
          </cell>
          <cell r="D836">
            <v>50</v>
          </cell>
          <cell r="E836">
            <v>50</v>
          </cell>
          <cell r="F836">
            <v>50</v>
          </cell>
          <cell r="G836">
            <v>50</v>
          </cell>
          <cell r="H836">
            <v>50</v>
          </cell>
          <cell r="I836">
            <v>50</v>
          </cell>
          <cell r="J836">
            <v>50</v>
          </cell>
          <cell r="K836">
            <v>50</v>
          </cell>
          <cell r="L836">
            <v>50</v>
          </cell>
          <cell r="M836">
            <v>50</v>
          </cell>
          <cell r="N836">
            <v>50</v>
          </cell>
          <cell r="P836">
            <v>45</v>
          </cell>
          <cell r="Q836">
            <v>45</v>
          </cell>
          <cell r="R836">
            <v>45</v>
          </cell>
          <cell r="S836">
            <v>45</v>
          </cell>
          <cell r="U836">
            <v>40.5</v>
          </cell>
          <cell r="V836">
            <v>36.450000000000003</v>
          </cell>
          <cell r="W836">
            <v>32.805000000000007</v>
          </cell>
        </row>
        <row r="837">
          <cell r="A837" t="str">
            <v>Eka</v>
          </cell>
          <cell r="B837">
            <v>50</v>
          </cell>
          <cell r="C837">
            <v>50</v>
          </cell>
          <cell r="D837">
            <v>50</v>
          </cell>
          <cell r="E837">
            <v>50</v>
          </cell>
          <cell r="F837">
            <v>50</v>
          </cell>
          <cell r="G837">
            <v>50</v>
          </cell>
          <cell r="H837">
            <v>50</v>
          </cell>
          <cell r="I837">
            <v>50</v>
          </cell>
          <cell r="J837">
            <v>50</v>
          </cell>
          <cell r="K837">
            <v>50</v>
          </cell>
          <cell r="L837">
            <v>50</v>
          </cell>
          <cell r="M837">
            <v>50</v>
          </cell>
          <cell r="N837">
            <v>50</v>
          </cell>
          <cell r="P837">
            <v>45</v>
          </cell>
          <cell r="Q837">
            <v>45</v>
          </cell>
          <cell r="R837">
            <v>45</v>
          </cell>
          <cell r="S837">
            <v>45</v>
          </cell>
          <cell r="U837">
            <v>40.5</v>
          </cell>
          <cell r="V837">
            <v>36.450000000000003</v>
          </cell>
          <cell r="W837">
            <v>32.805000000000007</v>
          </cell>
        </row>
        <row r="838">
          <cell r="A838" t="str">
            <v>Irk</v>
          </cell>
          <cell r="B838">
            <v>50</v>
          </cell>
          <cell r="C838">
            <v>50</v>
          </cell>
          <cell r="D838">
            <v>50</v>
          </cell>
          <cell r="E838">
            <v>50</v>
          </cell>
          <cell r="F838">
            <v>50</v>
          </cell>
          <cell r="G838">
            <v>50</v>
          </cell>
          <cell r="H838">
            <v>50</v>
          </cell>
          <cell r="I838">
            <v>50</v>
          </cell>
          <cell r="J838">
            <v>50</v>
          </cell>
          <cell r="K838">
            <v>50</v>
          </cell>
          <cell r="L838">
            <v>50</v>
          </cell>
          <cell r="M838">
            <v>50</v>
          </cell>
          <cell r="N838">
            <v>50</v>
          </cell>
          <cell r="P838">
            <v>45</v>
          </cell>
          <cell r="Q838">
            <v>45</v>
          </cell>
          <cell r="R838">
            <v>45</v>
          </cell>
          <cell r="S838">
            <v>45</v>
          </cell>
          <cell r="U838">
            <v>40.5</v>
          </cell>
          <cell r="V838">
            <v>36.450000000000003</v>
          </cell>
          <cell r="W838">
            <v>32.805000000000007</v>
          </cell>
        </row>
        <row r="839">
          <cell r="A839" t="str">
            <v>Kha</v>
          </cell>
          <cell r="B839">
            <v>50</v>
          </cell>
          <cell r="C839">
            <v>50</v>
          </cell>
          <cell r="D839">
            <v>50</v>
          </cell>
          <cell r="E839">
            <v>50</v>
          </cell>
          <cell r="F839">
            <v>50</v>
          </cell>
          <cell r="G839">
            <v>50</v>
          </cell>
          <cell r="H839">
            <v>50</v>
          </cell>
          <cell r="I839">
            <v>50</v>
          </cell>
          <cell r="J839">
            <v>50</v>
          </cell>
          <cell r="K839">
            <v>50</v>
          </cell>
          <cell r="L839">
            <v>50</v>
          </cell>
          <cell r="M839">
            <v>50</v>
          </cell>
          <cell r="N839">
            <v>50</v>
          </cell>
          <cell r="P839">
            <v>45</v>
          </cell>
          <cell r="Q839">
            <v>45</v>
          </cell>
          <cell r="R839">
            <v>45</v>
          </cell>
          <cell r="S839">
            <v>45</v>
          </cell>
          <cell r="U839">
            <v>40.5</v>
          </cell>
          <cell r="V839">
            <v>36.450000000000003</v>
          </cell>
          <cell r="W839">
            <v>32.805000000000007</v>
          </cell>
        </row>
        <row r="840">
          <cell r="A840" t="str">
            <v>Kra</v>
          </cell>
          <cell r="B840">
            <v>50</v>
          </cell>
          <cell r="C840">
            <v>50</v>
          </cell>
          <cell r="D840">
            <v>50</v>
          </cell>
          <cell r="E840">
            <v>50</v>
          </cell>
          <cell r="F840">
            <v>50</v>
          </cell>
          <cell r="G840">
            <v>50</v>
          </cell>
          <cell r="H840">
            <v>50</v>
          </cell>
          <cell r="I840">
            <v>50</v>
          </cell>
          <cell r="J840">
            <v>50</v>
          </cell>
          <cell r="K840">
            <v>50</v>
          </cell>
          <cell r="L840">
            <v>50</v>
          </cell>
          <cell r="M840">
            <v>50</v>
          </cell>
          <cell r="N840">
            <v>50</v>
          </cell>
          <cell r="P840">
            <v>45</v>
          </cell>
          <cell r="Q840">
            <v>45</v>
          </cell>
          <cell r="R840">
            <v>45</v>
          </cell>
          <cell r="S840">
            <v>45</v>
          </cell>
          <cell r="U840">
            <v>40.5</v>
          </cell>
          <cell r="V840">
            <v>36.450000000000003</v>
          </cell>
          <cell r="W840">
            <v>32.805000000000007</v>
          </cell>
        </row>
        <row r="841">
          <cell r="A841" t="str">
            <v>Niz</v>
          </cell>
          <cell r="B841">
            <v>50</v>
          </cell>
          <cell r="C841">
            <v>50</v>
          </cell>
          <cell r="D841">
            <v>50</v>
          </cell>
          <cell r="E841">
            <v>50</v>
          </cell>
          <cell r="F841">
            <v>50</v>
          </cell>
          <cell r="G841">
            <v>50</v>
          </cell>
          <cell r="H841">
            <v>50</v>
          </cell>
          <cell r="I841">
            <v>50</v>
          </cell>
          <cell r="J841">
            <v>50</v>
          </cell>
          <cell r="K841">
            <v>50</v>
          </cell>
          <cell r="L841">
            <v>50</v>
          </cell>
          <cell r="M841">
            <v>50</v>
          </cell>
          <cell r="N841">
            <v>50</v>
          </cell>
          <cell r="P841">
            <v>45</v>
          </cell>
          <cell r="Q841">
            <v>45</v>
          </cell>
          <cell r="R841">
            <v>45</v>
          </cell>
          <cell r="S841">
            <v>45</v>
          </cell>
          <cell r="U841">
            <v>40.5</v>
          </cell>
          <cell r="V841">
            <v>36.450000000000003</v>
          </cell>
          <cell r="W841">
            <v>32.805000000000007</v>
          </cell>
        </row>
        <row r="842">
          <cell r="A842" t="str">
            <v>Nov</v>
          </cell>
          <cell r="B842">
            <v>50</v>
          </cell>
          <cell r="C842">
            <v>50</v>
          </cell>
          <cell r="D842">
            <v>50</v>
          </cell>
          <cell r="E842">
            <v>50</v>
          </cell>
          <cell r="F842">
            <v>50</v>
          </cell>
          <cell r="G842">
            <v>50</v>
          </cell>
          <cell r="H842">
            <v>50</v>
          </cell>
          <cell r="I842">
            <v>50</v>
          </cell>
          <cell r="J842">
            <v>50</v>
          </cell>
          <cell r="K842">
            <v>50</v>
          </cell>
          <cell r="L842">
            <v>50</v>
          </cell>
          <cell r="M842">
            <v>50</v>
          </cell>
          <cell r="N842">
            <v>50</v>
          </cell>
          <cell r="P842">
            <v>45</v>
          </cell>
          <cell r="Q842">
            <v>45</v>
          </cell>
          <cell r="R842">
            <v>45</v>
          </cell>
          <cell r="S842">
            <v>45</v>
          </cell>
          <cell r="U842">
            <v>40.5</v>
          </cell>
          <cell r="V842">
            <v>36.450000000000003</v>
          </cell>
          <cell r="W842">
            <v>32.805000000000007</v>
          </cell>
        </row>
        <row r="843">
          <cell r="A843" t="str">
            <v>Syk</v>
          </cell>
          <cell r="B843">
            <v>50</v>
          </cell>
          <cell r="C843">
            <v>50</v>
          </cell>
          <cell r="D843">
            <v>50</v>
          </cell>
          <cell r="E843">
            <v>50</v>
          </cell>
          <cell r="F843">
            <v>50</v>
          </cell>
          <cell r="G843">
            <v>50</v>
          </cell>
          <cell r="H843">
            <v>50</v>
          </cell>
          <cell r="I843">
            <v>50</v>
          </cell>
          <cell r="J843">
            <v>50</v>
          </cell>
          <cell r="K843">
            <v>50</v>
          </cell>
          <cell r="L843">
            <v>50</v>
          </cell>
          <cell r="M843">
            <v>50</v>
          </cell>
          <cell r="N843">
            <v>50</v>
          </cell>
          <cell r="P843">
            <v>45</v>
          </cell>
          <cell r="Q843">
            <v>45</v>
          </cell>
          <cell r="R843">
            <v>45</v>
          </cell>
          <cell r="S843">
            <v>45</v>
          </cell>
          <cell r="U843">
            <v>40.5</v>
          </cell>
          <cell r="V843">
            <v>36.450000000000003</v>
          </cell>
          <cell r="W843">
            <v>32.805000000000007</v>
          </cell>
        </row>
        <row r="844">
          <cell r="A844" t="str">
            <v>Tyu</v>
          </cell>
          <cell r="B844">
            <v>50</v>
          </cell>
          <cell r="C844">
            <v>50</v>
          </cell>
          <cell r="D844">
            <v>50</v>
          </cell>
          <cell r="E844">
            <v>50</v>
          </cell>
          <cell r="F844">
            <v>50</v>
          </cell>
          <cell r="G844">
            <v>50</v>
          </cell>
          <cell r="H844">
            <v>50</v>
          </cell>
          <cell r="I844">
            <v>50</v>
          </cell>
          <cell r="J844">
            <v>50</v>
          </cell>
          <cell r="K844">
            <v>50</v>
          </cell>
          <cell r="L844">
            <v>50</v>
          </cell>
          <cell r="M844">
            <v>50</v>
          </cell>
          <cell r="N844">
            <v>50</v>
          </cell>
          <cell r="P844">
            <v>45</v>
          </cell>
          <cell r="Q844">
            <v>45</v>
          </cell>
          <cell r="R844">
            <v>45</v>
          </cell>
          <cell r="S844">
            <v>45</v>
          </cell>
          <cell r="U844">
            <v>40.5</v>
          </cell>
          <cell r="V844">
            <v>36.450000000000003</v>
          </cell>
          <cell r="W844">
            <v>32.805000000000007</v>
          </cell>
        </row>
        <row r="845">
          <cell r="A845" t="str">
            <v>Ufa</v>
          </cell>
          <cell r="B845">
            <v>50</v>
          </cell>
          <cell r="C845">
            <v>50</v>
          </cell>
          <cell r="D845">
            <v>50</v>
          </cell>
          <cell r="E845">
            <v>50</v>
          </cell>
          <cell r="F845">
            <v>50</v>
          </cell>
          <cell r="G845">
            <v>50</v>
          </cell>
          <cell r="H845">
            <v>50</v>
          </cell>
          <cell r="I845">
            <v>50</v>
          </cell>
          <cell r="J845">
            <v>50</v>
          </cell>
          <cell r="K845">
            <v>50</v>
          </cell>
          <cell r="L845">
            <v>50</v>
          </cell>
          <cell r="M845">
            <v>50</v>
          </cell>
          <cell r="N845">
            <v>50</v>
          </cell>
          <cell r="P845">
            <v>45</v>
          </cell>
          <cell r="Q845">
            <v>45</v>
          </cell>
          <cell r="R845">
            <v>45</v>
          </cell>
          <cell r="S845">
            <v>45</v>
          </cell>
          <cell r="U845">
            <v>40.5</v>
          </cell>
          <cell r="V845">
            <v>36.450000000000003</v>
          </cell>
          <cell r="W845">
            <v>32.805000000000007</v>
          </cell>
        </row>
        <row r="846">
          <cell r="A846" t="str">
            <v>Vla</v>
          </cell>
          <cell r="B846">
            <v>50</v>
          </cell>
          <cell r="C846">
            <v>50</v>
          </cell>
          <cell r="D846">
            <v>50</v>
          </cell>
          <cell r="E846">
            <v>50</v>
          </cell>
          <cell r="F846">
            <v>50</v>
          </cell>
          <cell r="G846">
            <v>50</v>
          </cell>
          <cell r="H846">
            <v>50</v>
          </cell>
          <cell r="I846">
            <v>50</v>
          </cell>
          <cell r="J846">
            <v>50</v>
          </cell>
          <cell r="K846">
            <v>50</v>
          </cell>
          <cell r="L846">
            <v>50</v>
          </cell>
          <cell r="M846">
            <v>50</v>
          </cell>
          <cell r="N846">
            <v>50</v>
          </cell>
          <cell r="P846">
            <v>45</v>
          </cell>
          <cell r="Q846">
            <v>45</v>
          </cell>
          <cell r="R846">
            <v>45</v>
          </cell>
          <cell r="S846">
            <v>45</v>
          </cell>
          <cell r="U846">
            <v>40.5</v>
          </cell>
          <cell r="V846">
            <v>36.450000000000003</v>
          </cell>
          <cell r="W846">
            <v>32.805000000000007</v>
          </cell>
        </row>
        <row r="847">
          <cell r="A847" t="str">
            <v>Vol</v>
          </cell>
          <cell r="B847">
            <v>50</v>
          </cell>
          <cell r="C847">
            <v>50</v>
          </cell>
          <cell r="D847">
            <v>50</v>
          </cell>
          <cell r="E847">
            <v>50</v>
          </cell>
          <cell r="F847">
            <v>50</v>
          </cell>
          <cell r="G847">
            <v>50</v>
          </cell>
          <cell r="H847">
            <v>50</v>
          </cell>
          <cell r="I847">
            <v>50</v>
          </cell>
          <cell r="J847">
            <v>50</v>
          </cell>
          <cell r="K847">
            <v>50</v>
          </cell>
          <cell r="L847">
            <v>50</v>
          </cell>
          <cell r="M847">
            <v>50</v>
          </cell>
          <cell r="N847">
            <v>50</v>
          </cell>
          <cell r="P847">
            <v>45</v>
          </cell>
          <cell r="Q847">
            <v>45</v>
          </cell>
          <cell r="R847">
            <v>45</v>
          </cell>
          <cell r="S847">
            <v>45</v>
          </cell>
          <cell r="U847">
            <v>40.5</v>
          </cell>
          <cell r="V847">
            <v>36.450000000000003</v>
          </cell>
          <cell r="W847">
            <v>32.805000000000007</v>
          </cell>
        </row>
        <row r="848">
          <cell r="A848" t="str">
            <v>Vor</v>
          </cell>
          <cell r="B848">
            <v>50</v>
          </cell>
          <cell r="C848">
            <v>50</v>
          </cell>
          <cell r="D848">
            <v>50</v>
          </cell>
          <cell r="E848">
            <v>50</v>
          </cell>
          <cell r="F848">
            <v>50</v>
          </cell>
          <cell r="G848">
            <v>50</v>
          </cell>
          <cell r="H848">
            <v>50</v>
          </cell>
          <cell r="I848">
            <v>50</v>
          </cell>
          <cell r="J848">
            <v>50</v>
          </cell>
          <cell r="K848">
            <v>50</v>
          </cell>
          <cell r="L848">
            <v>50</v>
          </cell>
          <cell r="M848">
            <v>50</v>
          </cell>
          <cell r="N848">
            <v>50</v>
          </cell>
          <cell r="P848">
            <v>45</v>
          </cell>
          <cell r="Q848">
            <v>45</v>
          </cell>
          <cell r="R848">
            <v>45</v>
          </cell>
          <cell r="S848">
            <v>45</v>
          </cell>
          <cell r="U848">
            <v>40.5</v>
          </cell>
          <cell r="V848">
            <v>36.450000000000003</v>
          </cell>
          <cell r="W848">
            <v>32.805000000000007</v>
          </cell>
        </row>
        <row r="849">
          <cell r="A849" t="str">
            <v>97#1</v>
          </cell>
          <cell r="B849">
            <v>50</v>
          </cell>
          <cell r="C849">
            <v>50</v>
          </cell>
          <cell r="D849">
            <v>50</v>
          </cell>
          <cell r="E849">
            <v>50</v>
          </cell>
          <cell r="F849">
            <v>50</v>
          </cell>
          <cell r="G849">
            <v>50</v>
          </cell>
          <cell r="H849">
            <v>50</v>
          </cell>
          <cell r="I849">
            <v>50</v>
          </cell>
          <cell r="J849">
            <v>50</v>
          </cell>
          <cell r="K849">
            <v>50</v>
          </cell>
          <cell r="L849">
            <v>50</v>
          </cell>
          <cell r="M849">
            <v>50</v>
          </cell>
          <cell r="N849">
            <v>50</v>
          </cell>
          <cell r="P849">
            <v>45</v>
          </cell>
          <cell r="Q849">
            <v>45</v>
          </cell>
          <cell r="R849">
            <v>45</v>
          </cell>
          <cell r="S849">
            <v>45</v>
          </cell>
          <cell r="U849">
            <v>40.5</v>
          </cell>
          <cell r="V849">
            <v>36.450000000000003</v>
          </cell>
          <cell r="W849">
            <v>32.805000000000007</v>
          </cell>
        </row>
        <row r="850">
          <cell r="A850" t="str">
            <v>97#2</v>
          </cell>
          <cell r="B850">
            <v>50</v>
          </cell>
          <cell r="C850">
            <v>50</v>
          </cell>
          <cell r="D850">
            <v>50</v>
          </cell>
          <cell r="E850">
            <v>50</v>
          </cell>
          <cell r="F850">
            <v>50</v>
          </cell>
          <cell r="G850">
            <v>50</v>
          </cell>
          <cell r="H850">
            <v>50</v>
          </cell>
          <cell r="I850">
            <v>50</v>
          </cell>
          <cell r="J850">
            <v>50</v>
          </cell>
          <cell r="K850">
            <v>50</v>
          </cell>
          <cell r="L850">
            <v>50</v>
          </cell>
          <cell r="M850">
            <v>50</v>
          </cell>
          <cell r="N850">
            <v>50</v>
          </cell>
          <cell r="P850">
            <v>45</v>
          </cell>
          <cell r="Q850">
            <v>45</v>
          </cell>
          <cell r="R850">
            <v>45</v>
          </cell>
          <cell r="S850">
            <v>45</v>
          </cell>
          <cell r="U850">
            <v>40.5</v>
          </cell>
          <cell r="V850">
            <v>36.450000000000003</v>
          </cell>
          <cell r="W850">
            <v>32.805000000000007</v>
          </cell>
        </row>
        <row r="851">
          <cell r="A851" t="str">
            <v>98#1</v>
          </cell>
          <cell r="B851">
            <v>50</v>
          </cell>
          <cell r="C851">
            <v>50</v>
          </cell>
          <cell r="D851">
            <v>50</v>
          </cell>
          <cell r="E851">
            <v>50</v>
          </cell>
          <cell r="F851">
            <v>50</v>
          </cell>
          <cell r="G851">
            <v>50</v>
          </cell>
          <cell r="H851">
            <v>50</v>
          </cell>
          <cell r="I851">
            <v>50</v>
          </cell>
          <cell r="J851">
            <v>50</v>
          </cell>
          <cell r="K851">
            <v>50</v>
          </cell>
          <cell r="L851">
            <v>50</v>
          </cell>
          <cell r="M851">
            <v>50</v>
          </cell>
          <cell r="N851">
            <v>50</v>
          </cell>
          <cell r="P851">
            <v>45</v>
          </cell>
          <cell r="Q851">
            <v>45</v>
          </cell>
          <cell r="R851">
            <v>45</v>
          </cell>
          <cell r="S851">
            <v>45</v>
          </cell>
          <cell r="U851">
            <v>40.5</v>
          </cell>
          <cell r="V851">
            <v>36.450000000000003</v>
          </cell>
          <cell r="W851">
            <v>32.805000000000007</v>
          </cell>
        </row>
        <row r="852">
          <cell r="A852" t="str">
            <v>98#2</v>
          </cell>
          <cell r="B852">
            <v>50</v>
          </cell>
          <cell r="C852">
            <v>50</v>
          </cell>
          <cell r="D852">
            <v>50</v>
          </cell>
          <cell r="E852">
            <v>50</v>
          </cell>
          <cell r="F852">
            <v>50</v>
          </cell>
          <cell r="G852">
            <v>50</v>
          </cell>
          <cell r="H852">
            <v>50</v>
          </cell>
          <cell r="I852">
            <v>50</v>
          </cell>
          <cell r="J852">
            <v>50</v>
          </cell>
          <cell r="K852">
            <v>50</v>
          </cell>
          <cell r="L852">
            <v>50</v>
          </cell>
          <cell r="M852">
            <v>50</v>
          </cell>
          <cell r="N852">
            <v>50</v>
          </cell>
          <cell r="P852">
            <v>45</v>
          </cell>
          <cell r="Q852">
            <v>45</v>
          </cell>
          <cell r="R852">
            <v>45</v>
          </cell>
          <cell r="S852">
            <v>45</v>
          </cell>
          <cell r="U852">
            <v>40.5</v>
          </cell>
          <cell r="V852">
            <v>36.450000000000003</v>
          </cell>
          <cell r="W852">
            <v>32.805000000000007</v>
          </cell>
        </row>
        <row r="853">
          <cell r="A853" t="str">
            <v>Mos</v>
          </cell>
        </row>
        <row r="854">
          <cell r="A854" t="str">
            <v>Con</v>
          </cell>
          <cell r="B854">
            <v>50</v>
          </cell>
          <cell r="C854">
            <v>50</v>
          </cell>
          <cell r="D854">
            <v>50</v>
          </cell>
          <cell r="E854">
            <v>50</v>
          </cell>
          <cell r="F854">
            <v>50</v>
          </cell>
          <cell r="G854">
            <v>50</v>
          </cell>
          <cell r="H854">
            <v>50</v>
          </cell>
          <cell r="I854">
            <v>50</v>
          </cell>
          <cell r="J854">
            <v>50</v>
          </cell>
          <cell r="K854">
            <v>50</v>
          </cell>
          <cell r="L854">
            <v>50</v>
          </cell>
          <cell r="M854">
            <v>50</v>
          </cell>
          <cell r="N854">
            <v>50</v>
          </cell>
          <cell r="P854">
            <v>45</v>
          </cell>
          <cell r="Q854">
            <v>45</v>
          </cell>
          <cell r="R854">
            <v>45</v>
          </cell>
          <cell r="S854">
            <v>45</v>
          </cell>
          <cell r="U854">
            <v>40.5</v>
          </cell>
          <cell r="V854">
            <v>36.450000000000003</v>
          </cell>
          <cell r="W854">
            <v>32.805</v>
          </cell>
        </row>
        <row r="856">
          <cell r="A856" t="str">
            <v xml:space="preserve">Aggr GTS Number of new lines </v>
          </cell>
        </row>
        <row r="857">
          <cell r="B857">
            <v>35765</v>
          </cell>
          <cell r="C857">
            <v>35796</v>
          </cell>
          <cell r="D857">
            <v>35827</v>
          </cell>
          <cell r="E857">
            <v>35855</v>
          </cell>
          <cell r="F857">
            <v>35886</v>
          </cell>
          <cell r="G857">
            <v>35916</v>
          </cell>
          <cell r="H857">
            <v>35947</v>
          </cell>
          <cell r="I857">
            <v>35977</v>
          </cell>
          <cell r="J857">
            <v>36008</v>
          </cell>
          <cell r="K857">
            <v>36039</v>
          </cell>
          <cell r="L857">
            <v>36069</v>
          </cell>
          <cell r="M857">
            <v>36100</v>
          </cell>
          <cell r="N857">
            <v>36130</v>
          </cell>
          <cell r="O857" t="str">
            <v>Total 98</v>
          </cell>
          <cell r="P857" t="str">
            <v>Q1-99</v>
          </cell>
          <cell r="Q857" t="str">
            <v>Q2-99</v>
          </cell>
          <cell r="R857" t="str">
            <v>Q3-99</v>
          </cell>
          <cell r="S857" t="str">
            <v>Q4-99</v>
          </cell>
          <cell r="T857" t="str">
            <v>Total 99</v>
          </cell>
          <cell r="U857">
            <v>2000</v>
          </cell>
          <cell r="V857">
            <v>2001</v>
          </cell>
          <cell r="W857">
            <v>2002</v>
          </cell>
        </row>
        <row r="858">
          <cell r="A858" t="str">
            <v>Ark</v>
          </cell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T858">
            <v>0</v>
          </cell>
        </row>
        <row r="859">
          <cell r="A859" t="str">
            <v>Eka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T859">
            <v>0</v>
          </cell>
        </row>
        <row r="860">
          <cell r="A860" t="str">
            <v>Irk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T860">
            <v>0</v>
          </cell>
        </row>
        <row r="861">
          <cell r="A861" t="str">
            <v>Kha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T861">
            <v>0</v>
          </cell>
        </row>
        <row r="862">
          <cell r="A862" t="str">
            <v>Kra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T862">
            <v>0</v>
          </cell>
        </row>
        <row r="863">
          <cell r="A863" t="str">
            <v>Niz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T863">
            <v>0</v>
          </cell>
        </row>
        <row r="864">
          <cell r="A864" t="str">
            <v>Nov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T864">
            <v>0</v>
          </cell>
        </row>
        <row r="865">
          <cell r="A865" t="str">
            <v>Syk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T865">
            <v>0</v>
          </cell>
        </row>
        <row r="866">
          <cell r="A866" t="str">
            <v>Tyu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T866">
            <v>0</v>
          </cell>
        </row>
        <row r="867">
          <cell r="A867" t="str">
            <v>Ufa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T867">
            <v>0</v>
          </cell>
        </row>
        <row r="868">
          <cell r="A868" t="str">
            <v>Vla</v>
          </cell>
          <cell r="B868">
            <v>0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T868">
            <v>0</v>
          </cell>
        </row>
        <row r="869">
          <cell r="A869" t="str">
            <v>Vol</v>
          </cell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T869">
            <v>0</v>
          </cell>
        </row>
        <row r="870">
          <cell r="A870" t="str">
            <v>Vor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T870">
            <v>0</v>
          </cell>
        </row>
        <row r="871">
          <cell r="A871" t="str">
            <v>97#1</v>
          </cell>
          <cell r="O871">
            <v>0</v>
          </cell>
          <cell r="Q871">
            <v>0</v>
          </cell>
          <cell r="T871">
            <v>0</v>
          </cell>
        </row>
        <row r="872">
          <cell r="A872" t="str">
            <v>97#2</v>
          </cell>
          <cell r="O872">
            <v>0</v>
          </cell>
          <cell r="T872">
            <v>0</v>
          </cell>
          <cell r="U872">
            <v>0</v>
          </cell>
        </row>
        <row r="873">
          <cell r="A873" t="str">
            <v>98#1</v>
          </cell>
          <cell r="O873">
            <v>0</v>
          </cell>
        </row>
        <row r="874">
          <cell r="A874" t="str">
            <v>98#2</v>
          </cell>
          <cell r="O874">
            <v>0</v>
          </cell>
        </row>
        <row r="875">
          <cell r="O875">
            <v>0</v>
          </cell>
        </row>
        <row r="876">
          <cell r="A876" t="str">
            <v>98#N</v>
          </cell>
          <cell r="O876">
            <v>0</v>
          </cell>
          <cell r="T876">
            <v>0</v>
          </cell>
          <cell r="U876">
            <v>0</v>
          </cell>
          <cell r="W876">
            <v>0</v>
          </cell>
        </row>
        <row r="877">
          <cell r="A877" t="str">
            <v>99#N</v>
          </cell>
          <cell r="O877">
            <v>0</v>
          </cell>
          <cell r="T877">
            <v>0</v>
          </cell>
          <cell r="V877">
            <v>0</v>
          </cell>
        </row>
        <row r="878">
          <cell r="A878" t="str">
            <v>00#N</v>
          </cell>
          <cell r="O878">
            <v>0</v>
          </cell>
          <cell r="T878">
            <v>0</v>
          </cell>
          <cell r="W878">
            <v>0</v>
          </cell>
        </row>
        <row r="879">
          <cell r="A879" t="str">
            <v>01#N</v>
          </cell>
          <cell r="O879">
            <v>0</v>
          </cell>
          <cell r="T879">
            <v>0</v>
          </cell>
        </row>
        <row r="880">
          <cell r="A880" t="str">
            <v>Mos</v>
          </cell>
          <cell r="O880">
            <v>0</v>
          </cell>
          <cell r="T880">
            <v>0</v>
          </cell>
        </row>
        <row r="881">
          <cell r="A881" t="str">
            <v>Con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</row>
        <row r="883">
          <cell r="A883" t="str">
            <v>Aggr GTS Number of intercity minutes per line</v>
          </cell>
        </row>
        <row r="884">
          <cell r="B884">
            <v>35765</v>
          </cell>
          <cell r="C884">
            <v>35796</v>
          </cell>
          <cell r="D884">
            <v>35827</v>
          </cell>
          <cell r="E884">
            <v>35855</v>
          </cell>
          <cell r="F884">
            <v>35886</v>
          </cell>
          <cell r="G884">
            <v>35916</v>
          </cell>
          <cell r="H884">
            <v>35947</v>
          </cell>
          <cell r="I884">
            <v>35977</v>
          </cell>
          <cell r="J884">
            <v>36008</v>
          </cell>
          <cell r="K884">
            <v>36039</v>
          </cell>
          <cell r="L884">
            <v>36069</v>
          </cell>
          <cell r="M884">
            <v>36100</v>
          </cell>
          <cell r="N884">
            <v>36130</v>
          </cell>
          <cell r="O884" t="str">
            <v>Total 98</v>
          </cell>
          <cell r="P884" t="str">
            <v>Q1-99</v>
          </cell>
          <cell r="Q884" t="str">
            <v>Q2-99</v>
          </cell>
          <cell r="R884" t="str">
            <v>Q3-99</v>
          </cell>
          <cell r="S884" t="str">
            <v>Q4-99</v>
          </cell>
          <cell r="T884" t="str">
            <v>Total 99</v>
          </cell>
          <cell r="U884">
            <v>2000</v>
          </cell>
          <cell r="V884">
            <v>2001</v>
          </cell>
          <cell r="W884">
            <v>2002</v>
          </cell>
        </row>
        <row r="885">
          <cell r="A885" t="str">
            <v>Ark</v>
          </cell>
          <cell r="C885">
            <v>5556</v>
          </cell>
          <cell r="D885">
            <v>5556</v>
          </cell>
          <cell r="E885">
            <v>5556</v>
          </cell>
          <cell r="F885">
            <v>5556</v>
          </cell>
          <cell r="G885">
            <v>5556</v>
          </cell>
          <cell r="H885">
            <v>5556</v>
          </cell>
          <cell r="I885">
            <v>5556</v>
          </cell>
          <cell r="J885">
            <v>5556</v>
          </cell>
          <cell r="K885">
            <v>5556</v>
          </cell>
          <cell r="L885">
            <v>5556</v>
          </cell>
          <cell r="M885">
            <v>5556</v>
          </cell>
          <cell r="N885">
            <v>5556</v>
          </cell>
          <cell r="P885">
            <v>7000</v>
          </cell>
          <cell r="Q885">
            <v>7000</v>
          </cell>
          <cell r="R885">
            <v>7000</v>
          </cell>
          <cell r="S885">
            <v>7000</v>
          </cell>
          <cell r="U885">
            <v>8000</v>
          </cell>
          <cell r="V885">
            <v>9000</v>
          </cell>
          <cell r="W885">
            <v>10000</v>
          </cell>
        </row>
        <row r="886">
          <cell r="A886" t="str">
            <v>Eka</v>
          </cell>
          <cell r="C886">
            <v>5556</v>
          </cell>
          <cell r="D886">
            <v>5556</v>
          </cell>
          <cell r="E886">
            <v>5556</v>
          </cell>
          <cell r="F886">
            <v>5556</v>
          </cell>
          <cell r="G886">
            <v>5556</v>
          </cell>
          <cell r="H886">
            <v>5556</v>
          </cell>
          <cell r="I886">
            <v>5556</v>
          </cell>
          <cell r="J886">
            <v>5556</v>
          </cell>
          <cell r="K886">
            <v>5556</v>
          </cell>
          <cell r="L886">
            <v>5556</v>
          </cell>
          <cell r="M886">
            <v>5556</v>
          </cell>
          <cell r="N886">
            <v>5556</v>
          </cell>
          <cell r="P886">
            <v>7000</v>
          </cell>
          <cell r="Q886">
            <v>7000</v>
          </cell>
          <cell r="R886">
            <v>7000</v>
          </cell>
          <cell r="S886">
            <v>7000</v>
          </cell>
          <cell r="U886">
            <v>8000</v>
          </cell>
          <cell r="V886">
            <v>9000</v>
          </cell>
          <cell r="W886">
            <v>10000</v>
          </cell>
        </row>
        <row r="887">
          <cell r="A887" t="str">
            <v>Irk</v>
          </cell>
          <cell r="C887">
            <v>5556</v>
          </cell>
          <cell r="D887">
            <v>5556</v>
          </cell>
          <cell r="E887">
            <v>5556</v>
          </cell>
          <cell r="F887">
            <v>5556</v>
          </cell>
          <cell r="G887">
            <v>5556</v>
          </cell>
          <cell r="H887">
            <v>5556</v>
          </cell>
          <cell r="I887">
            <v>5556</v>
          </cell>
          <cell r="J887">
            <v>5556</v>
          </cell>
          <cell r="K887">
            <v>5556</v>
          </cell>
          <cell r="L887">
            <v>5556</v>
          </cell>
          <cell r="M887">
            <v>5556</v>
          </cell>
          <cell r="N887">
            <v>5556</v>
          </cell>
          <cell r="P887">
            <v>7000</v>
          </cell>
          <cell r="Q887">
            <v>7000</v>
          </cell>
          <cell r="R887">
            <v>7000</v>
          </cell>
          <cell r="S887">
            <v>7000</v>
          </cell>
          <cell r="U887">
            <v>8000</v>
          </cell>
          <cell r="V887">
            <v>9000</v>
          </cell>
          <cell r="W887">
            <v>10000</v>
          </cell>
        </row>
        <row r="888">
          <cell r="A888" t="str">
            <v>Kha</v>
          </cell>
          <cell r="C888">
            <v>5556</v>
          </cell>
          <cell r="D888">
            <v>5556</v>
          </cell>
          <cell r="E888">
            <v>5556</v>
          </cell>
          <cell r="F888">
            <v>5556</v>
          </cell>
          <cell r="G888">
            <v>5556</v>
          </cell>
          <cell r="H888">
            <v>5556</v>
          </cell>
          <cell r="I888">
            <v>5556</v>
          </cell>
          <cell r="J888">
            <v>5556</v>
          </cell>
          <cell r="K888">
            <v>5556</v>
          </cell>
          <cell r="L888">
            <v>5556</v>
          </cell>
          <cell r="M888">
            <v>5556</v>
          </cell>
          <cell r="N888">
            <v>5556</v>
          </cell>
          <cell r="P888">
            <v>7000</v>
          </cell>
          <cell r="Q888">
            <v>7000</v>
          </cell>
          <cell r="R888">
            <v>7000</v>
          </cell>
          <cell r="S888">
            <v>7000</v>
          </cell>
          <cell r="U888">
            <v>8000</v>
          </cell>
          <cell r="V888">
            <v>9000</v>
          </cell>
          <cell r="W888">
            <v>10000</v>
          </cell>
        </row>
        <row r="889">
          <cell r="A889" t="str">
            <v>Kra</v>
          </cell>
          <cell r="C889">
            <v>5556</v>
          </cell>
          <cell r="D889">
            <v>5556</v>
          </cell>
          <cell r="E889">
            <v>5556</v>
          </cell>
          <cell r="F889">
            <v>5556</v>
          </cell>
          <cell r="G889">
            <v>5556</v>
          </cell>
          <cell r="H889">
            <v>5556</v>
          </cell>
          <cell r="I889">
            <v>5556</v>
          </cell>
          <cell r="J889">
            <v>5556</v>
          </cell>
          <cell r="K889">
            <v>5556</v>
          </cell>
          <cell r="L889">
            <v>5556</v>
          </cell>
          <cell r="M889">
            <v>5556</v>
          </cell>
          <cell r="N889">
            <v>5556</v>
          </cell>
          <cell r="P889">
            <v>7000</v>
          </cell>
          <cell r="Q889">
            <v>7000</v>
          </cell>
          <cell r="R889">
            <v>7000</v>
          </cell>
          <cell r="S889">
            <v>7000</v>
          </cell>
          <cell r="U889">
            <v>8000</v>
          </cell>
          <cell r="V889">
            <v>9000</v>
          </cell>
          <cell r="W889">
            <v>10000</v>
          </cell>
        </row>
        <row r="890">
          <cell r="A890" t="str">
            <v>Niz</v>
          </cell>
          <cell r="C890">
            <v>5556</v>
          </cell>
          <cell r="D890">
            <v>5556</v>
          </cell>
          <cell r="E890">
            <v>5556</v>
          </cell>
          <cell r="F890">
            <v>5556</v>
          </cell>
          <cell r="G890">
            <v>5556</v>
          </cell>
          <cell r="H890">
            <v>5556</v>
          </cell>
          <cell r="I890">
            <v>5556</v>
          </cell>
          <cell r="J890">
            <v>5556</v>
          </cell>
          <cell r="K890">
            <v>10000</v>
          </cell>
          <cell r="L890">
            <v>10000</v>
          </cell>
          <cell r="M890">
            <v>10000</v>
          </cell>
          <cell r="N890">
            <v>10000</v>
          </cell>
          <cell r="P890">
            <v>10000</v>
          </cell>
          <cell r="Q890">
            <v>10000</v>
          </cell>
          <cell r="R890">
            <v>10000</v>
          </cell>
          <cell r="S890">
            <v>10000</v>
          </cell>
          <cell r="U890">
            <v>10000</v>
          </cell>
          <cell r="V890">
            <v>10000</v>
          </cell>
          <cell r="W890">
            <v>10000</v>
          </cell>
        </row>
        <row r="891">
          <cell r="A891" t="str">
            <v>Nov</v>
          </cell>
          <cell r="C891">
            <v>5556</v>
          </cell>
          <cell r="D891">
            <v>5556</v>
          </cell>
          <cell r="E891">
            <v>5556</v>
          </cell>
          <cell r="F891">
            <v>5556</v>
          </cell>
          <cell r="G891">
            <v>5556</v>
          </cell>
          <cell r="H891">
            <v>5556</v>
          </cell>
          <cell r="I891">
            <v>5556</v>
          </cell>
          <cell r="J891">
            <v>5556</v>
          </cell>
          <cell r="K891">
            <v>5556</v>
          </cell>
          <cell r="L891">
            <v>5556</v>
          </cell>
          <cell r="M891">
            <v>5556</v>
          </cell>
          <cell r="N891">
            <v>5556</v>
          </cell>
          <cell r="P891">
            <v>7000</v>
          </cell>
          <cell r="Q891">
            <v>7000</v>
          </cell>
          <cell r="R891">
            <v>7000</v>
          </cell>
          <cell r="S891">
            <v>7000</v>
          </cell>
          <cell r="U891">
            <v>8000</v>
          </cell>
          <cell r="V891">
            <v>9000</v>
          </cell>
          <cell r="W891">
            <v>10000</v>
          </cell>
        </row>
        <row r="892">
          <cell r="A892" t="str">
            <v>Syk</v>
          </cell>
          <cell r="C892">
            <v>5556</v>
          </cell>
          <cell r="D892">
            <v>5556</v>
          </cell>
          <cell r="E892">
            <v>5556</v>
          </cell>
          <cell r="F892">
            <v>5556</v>
          </cell>
          <cell r="G892">
            <v>5556</v>
          </cell>
          <cell r="H892">
            <v>5556</v>
          </cell>
          <cell r="I892">
            <v>5556</v>
          </cell>
          <cell r="J892">
            <v>5556</v>
          </cell>
          <cell r="K892">
            <v>5556</v>
          </cell>
          <cell r="L892">
            <v>5556</v>
          </cell>
          <cell r="M892">
            <v>5556</v>
          </cell>
          <cell r="N892">
            <v>5556</v>
          </cell>
          <cell r="P892">
            <v>7000</v>
          </cell>
          <cell r="Q892">
            <v>7000</v>
          </cell>
          <cell r="R892">
            <v>7000</v>
          </cell>
          <cell r="S892">
            <v>7000</v>
          </cell>
          <cell r="U892">
            <v>8000</v>
          </cell>
          <cell r="V892">
            <v>9000</v>
          </cell>
          <cell r="W892">
            <v>10000</v>
          </cell>
        </row>
        <row r="893">
          <cell r="A893" t="str">
            <v>Tyu</v>
          </cell>
          <cell r="C893">
            <v>5556</v>
          </cell>
          <cell r="D893">
            <v>5556</v>
          </cell>
          <cell r="E893">
            <v>5556</v>
          </cell>
          <cell r="F893">
            <v>5556</v>
          </cell>
          <cell r="G893">
            <v>5556</v>
          </cell>
          <cell r="H893">
            <v>5556</v>
          </cell>
          <cell r="I893">
            <v>5556</v>
          </cell>
          <cell r="J893">
            <v>5556</v>
          </cell>
          <cell r="K893">
            <v>5556</v>
          </cell>
          <cell r="L893">
            <v>5556</v>
          </cell>
          <cell r="M893">
            <v>5556</v>
          </cell>
          <cell r="N893">
            <v>5556</v>
          </cell>
          <cell r="P893">
            <v>7000</v>
          </cell>
          <cell r="Q893">
            <v>7000</v>
          </cell>
          <cell r="R893">
            <v>7000</v>
          </cell>
          <cell r="S893">
            <v>7000</v>
          </cell>
          <cell r="U893">
            <v>8000</v>
          </cell>
          <cell r="V893">
            <v>9000</v>
          </cell>
          <cell r="W893">
            <v>10000</v>
          </cell>
        </row>
        <row r="894">
          <cell r="A894" t="str">
            <v>Ufa</v>
          </cell>
          <cell r="C894">
            <v>5556</v>
          </cell>
          <cell r="D894">
            <v>5556</v>
          </cell>
          <cell r="E894">
            <v>5556</v>
          </cell>
          <cell r="F894">
            <v>5556</v>
          </cell>
          <cell r="G894">
            <v>5556</v>
          </cell>
          <cell r="H894">
            <v>5556</v>
          </cell>
          <cell r="I894">
            <v>5556</v>
          </cell>
          <cell r="J894">
            <v>5556</v>
          </cell>
          <cell r="K894">
            <v>5556</v>
          </cell>
          <cell r="L894">
            <v>5556</v>
          </cell>
          <cell r="M894">
            <v>5556</v>
          </cell>
          <cell r="N894">
            <v>5556</v>
          </cell>
          <cell r="P894">
            <v>7000</v>
          </cell>
          <cell r="Q894">
            <v>7000</v>
          </cell>
          <cell r="R894">
            <v>7000</v>
          </cell>
          <cell r="S894">
            <v>7000</v>
          </cell>
          <cell r="U894">
            <v>8000</v>
          </cell>
          <cell r="V894">
            <v>9000</v>
          </cell>
          <cell r="W894">
            <v>10000</v>
          </cell>
        </row>
        <row r="895">
          <cell r="A895" t="str">
            <v>Vla</v>
          </cell>
          <cell r="C895">
            <v>5556</v>
          </cell>
          <cell r="D895">
            <v>5556</v>
          </cell>
          <cell r="E895">
            <v>5556</v>
          </cell>
          <cell r="F895">
            <v>5556</v>
          </cell>
          <cell r="G895">
            <v>5556</v>
          </cell>
          <cell r="H895">
            <v>5556</v>
          </cell>
          <cell r="I895">
            <v>7500</v>
          </cell>
          <cell r="J895">
            <v>7500</v>
          </cell>
          <cell r="K895">
            <v>7500</v>
          </cell>
          <cell r="L895">
            <v>7500</v>
          </cell>
          <cell r="M895">
            <v>7500</v>
          </cell>
          <cell r="N895">
            <v>7500</v>
          </cell>
          <cell r="P895">
            <v>7000</v>
          </cell>
          <cell r="Q895">
            <v>7000</v>
          </cell>
          <cell r="R895">
            <v>7000</v>
          </cell>
          <cell r="S895">
            <v>7000</v>
          </cell>
          <cell r="U895">
            <v>8000</v>
          </cell>
          <cell r="V895">
            <v>9000</v>
          </cell>
          <cell r="W895">
            <v>10000</v>
          </cell>
        </row>
        <row r="896">
          <cell r="A896" t="str">
            <v>Vol</v>
          </cell>
          <cell r="C896">
            <v>5556</v>
          </cell>
          <cell r="D896">
            <v>5556</v>
          </cell>
          <cell r="E896">
            <v>5556</v>
          </cell>
          <cell r="F896">
            <v>5556</v>
          </cell>
          <cell r="G896">
            <v>5556</v>
          </cell>
          <cell r="H896">
            <v>5556</v>
          </cell>
          <cell r="I896">
            <v>5556</v>
          </cell>
          <cell r="J896">
            <v>5556</v>
          </cell>
          <cell r="K896">
            <v>5556</v>
          </cell>
          <cell r="L896">
            <v>5556</v>
          </cell>
          <cell r="M896">
            <v>5556</v>
          </cell>
          <cell r="N896">
            <v>5556</v>
          </cell>
          <cell r="P896">
            <v>7000</v>
          </cell>
          <cell r="Q896">
            <v>7000</v>
          </cell>
          <cell r="R896">
            <v>7000</v>
          </cell>
          <cell r="S896">
            <v>7000</v>
          </cell>
          <cell r="U896">
            <v>8000</v>
          </cell>
          <cell r="V896">
            <v>9000</v>
          </cell>
          <cell r="W896">
            <v>10000</v>
          </cell>
        </row>
        <row r="897">
          <cell r="A897" t="str">
            <v>Vor</v>
          </cell>
          <cell r="C897">
            <v>5556</v>
          </cell>
          <cell r="D897">
            <v>5556</v>
          </cell>
          <cell r="E897">
            <v>5556</v>
          </cell>
          <cell r="F897">
            <v>5556</v>
          </cell>
          <cell r="G897">
            <v>5556</v>
          </cell>
          <cell r="H897">
            <v>5556</v>
          </cell>
          <cell r="I897">
            <v>5556</v>
          </cell>
          <cell r="J897">
            <v>5556</v>
          </cell>
          <cell r="K897">
            <v>5556</v>
          </cell>
          <cell r="L897">
            <v>5556</v>
          </cell>
          <cell r="M897">
            <v>5556</v>
          </cell>
          <cell r="N897">
            <v>5556</v>
          </cell>
          <cell r="P897">
            <v>7000</v>
          </cell>
          <cell r="Q897">
            <v>7000</v>
          </cell>
          <cell r="R897">
            <v>7000</v>
          </cell>
          <cell r="S897">
            <v>7000</v>
          </cell>
          <cell r="U897">
            <v>8000</v>
          </cell>
          <cell r="V897">
            <v>9000</v>
          </cell>
          <cell r="W897">
            <v>10000</v>
          </cell>
        </row>
        <row r="898">
          <cell r="A898" t="str">
            <v>97#1</v>
          </cell>
          <cell r="C898">
            <v>5556</v>
          </cell>
          <cell r="D898">
            <v>5556</v>
          </cell>
          <cell r="E898">
            <v>5556</v>
          </cell>
          <cell r="F898">
            <v>5556</v>
          </cell>
          <cell r="G898">
            <v>5556</v>
          </cell>
          <cell r="H898">
            <v>5556</v>
          </cell>
          <cell r="I898">
            <v>5556</v>
          </cell>
          <cell r="J898">
            <v>5556</v>
          </cell>
          <cell r="K898">
            <v>5556</v>
          </cell>
          <cell r="L898">
            <v>5556</v>
          </cell>
          <cell r="M898">
            <v>5556</v>
          </cell>
          <cell r="N898">
            <v>5556</v>
          </cell>
          <cell r="P898">
            <v>7000</v>
          </cell>
          <cell r="Q898">
            <v>7000</v>
          </cell>
          <cell r="R898">
            <v>7000</v>
          </cell>
          <cell r="S898">
            <v>7000</v>
          </cell>
          <cell r="U898">
            <v>8000</v>
          </cell>
          <cell r="V898">
            <v>9000</v>
          </cell>
          <cell r="W898">
            <v>10000</v>
          </cell>
        </row>
        <row r="899">
          <cell r="A899" t="str">
            <v>97#2</v>
          </cell>
          <cell r="C899">
            <v>5556</v>
          </cell>
          <cell r="D899">
            <v>5556</v>
          </cell>
          <cell r="E899">
            <v>5556</v>
          </cell>
          <cell r="F899">
            <v>5556</v>
          </cell>
          <cell r="G899">
            <v>5556</v>
          </cell>
          <cell r="H899">
            <v>5556</v>
          </cell>
          <cell r="I899">
            <v>5556</v>
          </cell>
          <cell r="J899">
            <v>5556</v>
          </cell>
          <cell r="K899">
            <v>5556</v>
          </cell>
          <cell r="L899">
            <v>5556</v>
          </cell>
          <cell r="M899">
            <v>5556</v>
          </cell>
          <cell r="N899">
            <v>5556</v>
          </cell>
          <cell r="P899">
            <v>7000</v>
          </cell>
          <cell r="Q899">
            <v>7000</v>
          </cell>
          <cell r="R899">
            <v>7000</v>
          </cell>
          <cell r="S899">
            <v>7000</v>
          </cell>
          <cell r="U899">
            <v>8000</v>
          </cell>
          <cell r="V899">
            <v>9000</v>
          </cell>
          <cell r="W899">
            <v>10000</v>
          </cell>
        </row>
        <row r="900">
          <cell r="A900" t="str">
            <v>98#1</v>
          </cell>
          <cell r="C900">
            <v>5556</v>
          </cell>
          <cell r="D900">
            <v>5556</v>
          </cell>
          <cell r="E900">
            <v>5556</v>
          </cell>
          <cell r="F900">
            <v>5556</v>
          </cell>
          <cell r="G900">
            <v>5556</v>
          </cell>
          <cell r="H900">
            <v>5556</v>
          </cell>
          <cell r="I900">
            <v>5556</v>
          </cell>
          <cell r="J900">
            <v>5556</v>
          </cell>
          <cell r="K900">
            <v>5556</v>
          </cell>
          <cell r="L900">
            <v>5556</v>
          </cell>
          <cell r="M900">
            <v>5556</v>
          </cell>
          <cell r="N900">
            <v>5556</v>
          </cell>
        </row>
        <row r="901">
          <cell r="A901" t="str">
            <v>98#2</v>
          </cell>
          <cell r="C901">
            <v>5556</v>
          </cell>
          <cell r="D901">
            <v>5556</v>
          </cell>
          <cell r="E901">
            <v>5556</v>
          </cell>
          <cell r="F901">
            <v>5556</v>
          </cell>
          <cell r="G901">
            <v>5556</v>
          </cell>
          <cell r="H901">
            <v>5556</v>
          </cell>
          <cell r="I901">
            <v>5556</v>
          </cell>
          <cell r="J901">
            <v>5556</v>
          </cell>
          <cell r="K901">
            <v>5556</v>
          </cell>
          <cell r="L901">
            <v>5556</v>
          </cell>
          <cell r="M901">
            <v>5556</v>
          </cell>
          <cell r="N901">
            <v>5556</v>
          </cell>
        </row>
        <row r="903">
          <cell r="A903" t="str">
            <v>98#N</v>
          </cell>
          <cell r="C903">
            <v>5556</v>
          </cell>
          <cell r="D903">
            <v>5556</v>
          </cell>
          <cell r="E903">
            <v>5556</v>
          </cell>
          <cell r="F903">
            <v>5556</v>
          </cell>
          <cell r="G903">
            <v>5556</v>
          </cell>
          <cell r="H903">
            <v>5556</v>
          </cell>
          <cell r="I903">
            <v>5556</v>
          </cell>
          <cell r="J903">
            <v>5556</v>
          </cell>
          <cell r="K903">
            <v>5556</v>
          </cell>
          <cell r="L903">
            <v>5556</v>
          </cell>
          <cell r="M903">
            <v>5556</v>
          </cell>
          <cell r="N903">
            <v>5556</v>
          </cell>
          <cell r="P903">
            <v>7000</v>
          </cell>
          <cell r="Q903">
            <v>7000</v>
          </cell>
          <cell r="R903">
            <v>7000</v>
          </cell>
          <cell r="S903">
            <v>7000</v>
          </cell>
          <cell r="U903">
            <v>8000</v>
          </cell>
          <cell r="V903">
            <v>9000</v>
          </cell>
          <cell r="W903">
            <v>10000</v>
          </cell>
        </row>
        <row r="904">
          <cell r="A904" t="str">
            <v>99#N</v>
          </cell>
          <cell r="C904">
            <v>5556</v>
          </cell>
          <cell r="D904">
            <v>5556</v>
          </cell>
          <cell r="E904">
            <v>5556</v>
          </cell>
          <cell r="F904">
            <v>5556</v>
          </cell>
          <cell r="G904">
            <v>5556</v>
          </cell>
          <cell r="H904">
            <v>5556</v>
          </cell>
          <cell r="I904">
            <v>5556</v>
          </cell>
          <cell r="J904">
            <v>5556</v>
          </cell>
          <cell r="K904">
            <v>5556</v>
          </cell>
          <cell r="L904">
            <v>5556</v>
          </cell>
          <cell r="M904">
            <v>5556</v>
          </cell>
          <cell r="N904">
            <v>5556</v>
          </cell>
          <cell r="P904">
            <v>7000</v>
          </cell>
          <cell r="Q904">
            <v>7000</v>
          </cell>
          <cell r="R904">
            <v>7000</v>
          </cell>
          <cell r="S904">
            <v>7000</v>
          </cell>
          <cell r="U904">
            <v>8000</v>
          </cell>
          <cell r="V904">
            <v>9000</v>
          </cell>
          <cell r="W904">
            <v>10000</v>
          </cell>
        </row>
        <row r="905">
          <cell r="A905" t="str">
            <v>00#N</v>
          </cell>
          <cell r="C905">
            <v>5556</v>
          </cell>
          <cell r="D905">
            <v>5556</v>
          </cell>
          <cell r="E905">
            <v>5556</v>
          </cell>
          <cell r="F905">
            <v>5556</v>
          </cell>
          <cell r="G905">
            <v>5556</v>
          </cell>
          <cell r="H905">
            <v>5556</v>
          </cell>
          <cell r="I905">
            <v>5556</v>
          </cell>
          <cell r="J905">
            <v>5556</v>
          </cell>
          <cell r="K905">
            <v>5556</v>
          </cell>
          <cell r="L905">
            <v>5556</v>
          </cell>
          <cell r="M905">
            <v>5556</v>
          </cell>
          <cell r="N905">
            <v>5556</v>
          </cell>
          <cell r="P905">
            <v>7000</v>
          </cell>
          <cell r="Q905">
            <v>7000</v>
          </cell>
          <cell r="R905">
            <v>7000</v>
          </cell>
          <cell r="S905">
            <v>7000</v>
          </cell>
          <cell r="U905">
            <v>8000</v>
          </cell>
          <cell r="V905">
            <v>9000</v>
          </cell>
          <cell r="W905">
            <v>10000</v>
          </cell>
        </row>
        <row r="906">
          <cell r="A906" t="str">
            <v>01#N</v>
          </cell>
          <cell r="C906">
            <v>5556</v>
          </cell>
          <cell r="D906">
            <v>5556</v>
          </cell>
          <cell r="E906">
            <v>5556</v>
          </cell>
          <cell r="F906">
            <v>5556</v>
          </cell>
          <cell r="G906">
            <v>5556</v>
          </cell>
          <cell r="H906">
            <v>5556</v>
          </cell>
          <cell r="I906">
            <v>5556</v>
          </cell>
          <cell r="J906">
            <v>5556</v>
          </cell>
          <cell r="K906">
            <v>5556</v>
          </cell>
          <cell r="L906">
            <v>5556</v>
          </cell>
          <cell r="M906">
            <v>5556</v>
          </cell>
          <cell r="N906">
            <v>5556</v>
          </cell>
          <cell r="P906">
            <v>7000</v>
          </cell>
          <cell r="Q906">
            <v>7000</v>
          </cell>
          <cell r="R906">
            <v>7000</v>
          </cell>
          <cell r="S906">
            <v>7000</v>
          </cell>
          <cell r="U906">
            <v>8000</v>
          </cell>
          <cell r="V906">
            <v>9000</v>
          </cell>
          <cell r="W906">
            <v>10000</v>
          </cell>
        </row>
        <row r="907">
          <cell r="A907" t="str">
            <v>Mos</v>
          </cell>
        </row>
        <row r="908">
          <cell r="A908" t="str">
            <v>Con</v>
          </cell>
        </row>
        <row r="910">
          <cell r="A910" t="str">
            <v xml:space="preserve">Aggr GTS Average intercity tariff </v>
          </cell>
        </row>
        <row r="911">
          <cell r="B911">
            <v>35765</v>
          </cell>
          <cell r="C911">
            <v>35796</v>
          </cell>
          <cell r="D911">
            <v>35827</v>
          </cell>
          <cell r="E911">
            <v>35855</v>
          </cell>
          <cell r="F911">
            <v>35886</v>
          </cell>
          <cell r="G911">
            <v>35916</v>
          </cell>
          <cell r="H911">
            <v>35947</v>
          </cell>
          <cell r="I911">
            <v>35977</v>
          </cell>
          <cell r="J911">
            <v>36008</v>
          </cell>
          <cell r="K911">
            <v>36039</v>
          </cell>
          <cell r="L911">
            <v>36069</v>
          </cell>
          <cell r="M911">
            <v>36100</v>
          </cell>
          <cell r="N911">
            <v>36130</v>
          </cell>
          <cell r="O911" t="str">
            <v>Total 98</v>
          </cell>
          <cell r="P911" t="str">
            <v>Q1-99</v>
          </cell>
          <cell r="Q911" t="str">
            <v>Q2-99</v>
          </cell>
          <cell r="R911" t="str">
            <v>Q3-99</v>
          </cell>
          <cell r="S911" t="str">
            <v>Q4-99</v>
          </cell>
          <cell r="T911" t="str">
            <v>Total 99</v>
          </cell>
          <cell r="U911">
            <v>2000</v>
          </cell>
          <cell r="V911">
            <v>2001</v>
          </cell>
          <cell r="W911">
            <v>2002</v>
          </cell>
        </row>
        <row r="912">
          <cell r="A912" t="str">
            <v>Ark</v>
          </cell>
          <cell r="C912">
            <v>0.1353</v>
          </cell>
          <cell r="D912">
            <v>0.1353</v>
          </cell>
          <cell r="E912">
            <v>0.1353</v>
          </cell>
          <cell r="F912">
            <v>0.1353</v>
          </cell>
          <cell r="G912">
            <v>0.1353</v>
          </cell>
          <cell r="H912">
            <v>0.1353</v>
          </cell>
          <cell r="I912">
            <v>0.1353</v>
          </cell>
          <cell r="J912">
            <v>0.1353</v>
          </cell>
          <cell r="K912">
            <v>0.1353</v>
          </cell>
          <cell r="L912">
            <v>0.1353</v>
          </cell>
          <cell r="M912">
            <v>0.1353</v>
          </cell>
          <cell r="N912">
            <v>0.1353</v>
          </cell>
          <cell r="P912">
            <v>0.12177</v>
          </cell>
          <cell r="Q912">
            <v>0.12177</v>
          </cell>
          <cell r="R912">
            <v>0.12177</v>
          </cell>
          <cell r="S912">
            <v>0.12177</v>
          </cell>
          <cell r="U912">
            <v>0.10959300000000001</v>
          </cell>
          <cell r="V912">
            <v>9.8633700000000005E-2</v>
          </cell>
          <cell r="W912">
            <v>8.8770330000000008E-2</v>
          </cell>
        </row>
        <row r="913">
          <cell r="A913" t="str">
            <v>Eka</v>
          </cell>
          <cell r="C913">
            <v>0.1353</v>
          </cell>
          <cell r="D913">
            <v>0.1353</v>
          </cell>
          <cell r="E913">
            <v>0.1353</v>
          </cell>
          <cell r="F913">
            <v>0.1353</v>
          </cell>
          <cell r="G913">
            <v>0.1353</v>
          </cell>
          <cell r="H913">
            <v>0.1353</v>
          </cell>
          <cell r="I913">
            <v>0.1353</v>
          </cell>
          <cell r="J913">
            <v>0.1353</v>
          </cell>
          <cell r="K913">
            <v>0.1353</v>
          </cell>
          <cell r="L913">
            <v>0.1353</v>
          </cell>
          <cell r="M913">
            <v>0.1353</v>
          </cell>
          <cell r="N913">
            <v>0.1353</v>
          </cell>
          <cell r="P913">
            <v>0.12177</v>
          </cell>
          <cell r="Q913">
            <v>0.12177</v>
          </cell>
          <cell r="R913">
            <v>0.12177</v>
          </cell>
          <cell r="S913">
            <v>0.12177</v>
          </cell>
          <cell r="U913">
            <v>0.10959300000000001</v>
          </cell>
          <cell r="V913">
            <v>9.8633700000000005E-2</v>
          </cell>
          <cell r="W913">
            <v>8.8770330000000008E-2</v>
          </cell>
        </row>
        <row r="914">
          <cell r="A914" t="str">
            <v>Irk</v>
          </cell>
          <cell r="C914">
            <v>0.1353</v>
          </cell>
          <cell r="D914">
            <v>0.1353</v>
          </cell>
          <cell r="E914">
            <v>0.1353</v>
          </cell>
          <cell r="F914">
            <v>0.1353</v>
          </cell>
          <cell r="G914">
            <v>0.1353</v>
          </cell>
          <cell r="H914">
            <v>0.1353</v>
          </cell>
          <cell r="I914">
            <v>0.1353</v>
          </cell>
          <cell r="J914">
            <v>0.1353</v>
          </cell>
          <cell r="K914">
            <v>0.1353</v>
          </cell>
          <cell r="L914">
            <v>0.1353</v>
          </cell>
          <cell r="M914">
            <v>0.1353</v>
          </cell>
          <cell r="N914">
            <v>0.1353</v>
          </cell>
          <cell r="P914">
            <v>0.12177</v>
          </cell>
          <cell r="Q914">
            <v>0.12177</v>
          </cell>
          <cell r="R914">
            <v>0.12177</v>
          </cell>
          <cell r="S914">
            <v>0.12177</v>
          </cell>
          <cell r="U914">
            <v>0.10959300000000001</v>
          </cell>
          <cell r="V914">
            <v>9.8633700000000005E-2</v>
          </cell>
          <cell r="W914">
            <v>8.8770330000000008E-2</v>
          </cell>
        </row>
        <row r="915">
          <cell r="A915" t="str">
            <v>Kha</v>
          </cell>
          <cell r="C915">
            <v>0.1353</v>
          </cell>
          <cell r="D915">
            <v>0.1353</v>
          </cell>
          <cell r="E915">
            <v>0.1353</v>
          </cell>
          <cell r="F915">
            <v>0.1353</v>
          </cell>
          <cell r="G915">
            <v>0.1353</v>
          </cell>
          <cell r="H915">
            <v>0.1353</v>
          </cell>
          <cell r="I915">
            <v>0.1353</v>
          </cell>
          <cell r="J915">
            <v>0.1353</v>
          </cell>
          <cell r="K915">
            <v>0.1353</v>
          </cell>
          <cell r="L915">
            <v>0.1353</v>
          </cell>
          <cell r="M915">
            <v>0.1353</v>
          </cell>
          <cell r="N915">
            <v>0.1353</v>
          </cell>
          <cell r="P915">
            <v>0.12177</v>
          </cell>
          <cell r="Q915">
            <v>0.12177</v>
          </cell>
          <cell r="R915">
            <v>0.12177</v>
          </cell>
          <cell r="S915">
            <v>0.12177</v>
          </cell>
          <cell r="U915">
            <v>0.10959300000000001</v>
          </cell>
          <cell r="V915">
            <v>9.8633700000000005E-2</v>
          </cell>
          <cell r="W915">
            <v>8.8770330000000008E-2</v>
          </cell>
        </row>
        <row r="916">
          <cell r="A916" t="str">
            <v>Kra</v>
          </cell>
          <cell r="C916">
            <v>0.1353</v>
          </cell>
          <cell r="D916">
            <v>0.1353</v>
          </cell>
          <cell r="E916">
            <v>0.1353</v>
          </cell>
          <cell r="F916">
            <v>0.1353</v>
          </cell>
          <cell r="G916">
            <v>0.1353</v>
          </cell>
          <cell r="H916">
            <v>0.1353</v>
          </cell>
          <cell r="I916">
            <v>0.1353</v>
          </cell>
          <cell r="J916">
            <v>0.1353</v>
          </cell>
          <cell r="K916">
            <v>0.1353</v>
          </cell>
          <cell r="L916">
            <v>0.1353</v>
          </cell>
          <cell r="M916">
            <v>0.1353</v>
          </cell>
          <cell r="N916">
            <v>0.1353</v>
          </cell>
          <cell r="P916">
            <v>0.12177</v>
          </cell>
          <cell r="Q916">
            <v>0.12177</v>
          </cell>
          <cell r="R916">
            <v>0.12177</v>
          </cell>
          <cell r="S916">
            <v>0.12177</v>
          </cell>
          <cell r="U916">
            <v>0.10959300000000001</v>
          </cell>
          <cell r="V916">
            <v>9.8633700000000005E-2</v>
          </cell>
          <cell r="W916">
            <v>8.8770330000000008E-2</v>
          </cell>
        </row>
        <row r="917">
          <cell r="A917" t="str">
            <v>Niz</v>
          </cell>
          <cell r="C917">
            <v>0.1353</v>
          </cell>
          <cell r="D917">
            <v>0.1353</v>
          </cell>
          <cell r="E917">
            <v>0.1353</v>
          </cell>
          <cell r="F917">
            <v>0.1353</v>
          </cell>
          <cell r="G917">
            <v>0.1353</v>
          </cell>
          <cell r="H917">
            <v>0.1353</v>
          </cell>
          <cell r="I917">
            <v>0.1353</v>
          </cell>
          <cell r="J917">
            <v>0.1353</v>
          </cell>
          <cell r="K917">
            <v>0.1353</v>
          </cell>
          <cell r="L917">
            <v>0.1353</v>
          </cell>
          <cell r="M917">
            <v>0.1353</v>
          </cell>
          <cell r="N917">
            <v>0.1353</v>
          </cell>
          <cell r="P917">
            <v>0.12177</v>
          </cell>
          <cell r="Q917">
            <v>0.12177</v>
          </cell>
          <cell r="R917">
            <v>0.12177</v>
          </cell>
          <cell r="S917">
            <v>0.12177</v>
          </cell>
          <cell r="U917">
            <v>0.10959300000000001</v>
          </cell>
          <cell r="V917">
            <v>9.8633700000000005E-2</v>
          </cell>
          <cell r="W917">
            <v>8.8770330000000008E-2</v>
          </cell>
        </row>
        <row r="918">
          <cell r="A918" t="str">
            <v>Nov</v>
          </cell>
          <cell r="C918">
            <v>0.1353</v>
          </cell>
          <cell r="D918">
            <v>0.1353</v>
          </cell>
          <cell r="E918">
            <v>0.1353</v>
          </cell>
          <cell r="F918">
            <v>0.1353</v>
          </cell>
          <cell r="G918">
            <v>0.1353</v>
          </cell>
          <cell r="H918">
            <v>0.1353</v>
          </cell>
          <cell r="I918">
            <v>0.1353</v>
          </cell>
          <cell r="J918">
            <v>0.1353</v>
          </cell>
          <cell r="K918">
            <v>0.1353</v>
          </cell>
          <cell r="L918">
            <v>0.1353</v>
          </cell>
          <cell r="M918">
            <v>0.1353</v>
          </cell>
          <cell r="N918">
            <v>0.1353</v>
          </cell>
          <cell r="P918">
            <v>0.12177</v>
          </cell>
          <cell r="Q918">
            <v>0.12177</v>
          </cell>
          <cell r="R918">
            <v>0.12177</v>
          </cell>
          <cell r="S918">
            <v>0.12177</v>
          </cell>
          <cell r="U918">
            <v>0.10959300000000001</v>
          </cell>
          <cell r="V918">
            <v>9.8633700000000005E-2</v>
          </cell>
          <cell r="W918">
            <v>8.8770330000000008E-2</v>
          </cell>
        </row>
        <row r="919">
          <cell r="A919" t="str">
            <v>Syk</v>
          </cell>
          <cell r="C919">
            <v>0.1353</v>
          </cell>
          <cell r="D919">
            <v>0.1353</v>
          </cell>
          <cell r="E919">
            <v>0.1353</v>
          </cell>
          <cell r="F919">
            <v>0.1353</v>
          </cell>
          <cell r="G919">
            <v>0.1353</v>
          </cell>
          <cell r="H919">
            <v>0.1353</v>
          </cell>
          <cell r="I919">
            <v>0.1353</v>
          </cell>
          <cell r="J919">
            <v>0.1353</v>
          </cell>
          <cell r="K919">
            <v>0.1353</v>
          </cell>
          <cell r="L919">
            <v>0.1353</v>
          </cell>
          <cell r="M919">
            <v>0.1353</v>
          </cell>
          <cell r="N919">
            <v>0.1353</v>
          </cell>
          <cell r="P919">
            <v>0.12177</v>
          </cell>
          <cell r="Q919">
            <v>0.12177</v>
          </cell>
          <cell r="R919">
            <v>0.12177</v>
          </cell>
          <cell r="S919">
            <v>0.12177</v>
          </cell>
          <cell r="U919">
            <v>0.10959300000000001</v>
          </cell>
          <cell r="V919">
            <v>9.8633700000000005E-2</v>
          </cell>
          <cell r="W919">
            <v>8.8770330000000008E-2</v>
          </cell>
        </row>
        <row r="920">
          <cell r="A920" t="str">
            <v>Tyu</v>
          </cell>
          <cell r="C920">
            <v>0.1353</v>
          </cell>
          <cell r="D920">
            <v>0.1353</v>
          </cell>
          <cell r="E920">
            <v>0.1353</v>
          </cell>
          <cell r="F920">
            <v>0.1353</v>
          </cell>
          <cell r="G920">
            <v>0.1353</v>
          </cell>
          <cell r="H920">
            <v>0.1353</v>
          </cell>
          <cell r="I920">
            <v>0.1353</v>
          </cell>
          <cell r="J920">
            <v>0.1353</v>
          </cell>
          <cell r="K920">
            <v>0.1353</v>
          </cell>
          <cell r="L920">
            <v>0.1353</v>
          </cell>
          <cell r="M920">
            <v>0.1353</v>
          </cell>
          <cell r="N920">
            <v>0.1353</v>
          </cell>
          <cell r="P920">
            <v>0.12177</v>
          </cell>
          <cell r="Q920">
            <v>0.12177</v>
          </cell>
          <cell r="R920">
            <v>0.12177</v>
          </cell>
          <cell r="S920">
            <v>0.12177</v>
          </cell>
          <cell r="U920">
            <v>0.10959300000000001</v>
          </cell>
          <cell r="V920">
            <v>9.8633700000000005E-2</v>
          </cell>
          <cell r="W920">
            <v>8.8770330000000008E-2</v>
          </cell>
        </row>
        <row r="921">
          <cell r="A921" t="str">
            <v>Ufa</v>
          </cell>
          <cell r="C921">
            <v>0.1353</v>
          </cell>
          <cell r="D921">
            <v>0.1353</v>
          </cell>
          <cell r="E921">
            <v>0.1353</v>
          </cell>
          <cell r="F921">
            <v>0.1353</v>
          </cell>
          <cell r="G921">
            <v>0.1353</v>
          </cell>
          <cell r="H921">
            <v>0.1353</v>
          </cell>
          <cell r="I921">
            <v>0.1353</v>
          </cell>
          <cell r="J921">
            <v>0.1353</v>
          </cell>
          <cell r="K921">
            <v>0.1353</v>
          </cell>
          <cell r="L921">
            <v>0.1353</v>
          </cell>
          <cell r="M921">
            <v>0.1353</v>
          </cell>
          <cell r="N921">
            <v>0.1353</v>
          </cell>
          <cell r="P921">
            <v>0.12177</v>
          </cell>
          <cell r="Q921">
            <v>0.12177</v>
          </cell>
          <cell r="R921">
            <v>0.12177</v>
          </cell>
          <cell r="S921">
            <v>0.12177</v>
          </cell>
          <cell r="U921">
            <v>0.10959300000000001</v>
          </cell>
          <cell r="V921">
            <v>9.8633700000000005E-2</v>
          </cell>
          <cell r="W921">
            <v>8.8770330000000008E-2</v>
          </cell>
        </row>
        <row r="922">
          <cell r="A922" t="str">
            <v>Vla</v>
          </cell>
          <cell r="C922">
            <v>0.1353</v>
          </cell>
          <cell r="D922">
            <v>0.1353</v>
          </cell>
          <cell r="E922">
            <v>0.1353</v>
          </cell>
          <cell r="F922">
            <v>0.1353</v>
          </cell>
          <cell r="G922">
            <v>0.1353</v>
          </cell>
          <cell r="H922">
            <v>0.1353</v>
          </cell>
          <cell r="I922">
            <v>0.1353</v>
          </cell>
          <cell r="J922">
            <v>0.1353</v>
          </cell>
          <cell r="K922">
            <v>0.1353</v>
          </cell>
          <cell r="L922">
            <v>0.1353</v>
          </cell>
          <cell r="M922">
            <v>0.1353</v>
          </cell>
          <cell r="N922">
            <v>0.1353</v>
          </cell>
          <cell r="P922">
            <v>0.12177</v>
          </cell>
          <cell r="Q922">
            <v>0.12177</v>
          </cell>
          <cell r="R922">
            <v>0.12177</v>
          </cell>
          <cell r="S922">
            <v>0.12177</v>
          </cell>
          <cell r="U922">
            <v>0.10959300000000001</v>
          </cell>
          <cell r="V922">
            <v>9.8633700000000005E-2</v>
          </cell>
          <cell r="W922">
            <v>8.8770330000000008E-2</v>
          </cell>
        </row>
        <row r="923">
          <cell r="A923" t="str">
            <v>Vol</v>
          </cell>
          <cell r="C923">
            <v>0.1353</v>
          </cell>
          <cell r="D923">
            <v>0.1353</v>
          </cell>
          <cell r="E923">
            <v>0.1353</v>
          </cell>
          <cell r="F923">
            <v>0.1353</v>
          </cell>
          <cell r="G923">
            <v>0.1353</v>
          </cell>
          <cell r="H923">
            <v>0.1353</v>
          </cell>
          <cell r="I923">
            <v>0.1353</v>
          </cell>
          <cell r="J923">
            <v>0.1353</v>
          </cell>
          <cell r="K923">
            <v>0.1353</v>
          </cell>
          <cell r="L923">
            <v>0.1353</v>
          </cell>
          <cell r="M923">
            <v>0.1353</v>
          </cell>
          <cell r="N923">
            <v>0.1353</v>
          </cell>
          <cell r="P923">
            <v>0.12177</v>
          </cell>
          <cell r="Q923">
            <v>0.12177</v>
          </cell>
          <cell r="R923">
            <v>0.12177</v>
          </cell>
          <cell r="S923">
            <v>0.12177</v>
          </cell>
          <cell r="U923">
            <v>0.10959300000000001</v>
          </cell>
          <cell r="V923">
            <v>9.8633700000000005E-2</v>
          </cell>
          <cell r="W923">
            <v>8.8770330000000008E-2</v>
          </cell>
        </row>
        <row r="924">
          <cell r="A924" t="str">
            <v>Vor</v>
          </cell>
          <cell r="C924">
            <v>0.1353</v>
          </cell>
          <cell r="D924">
            <v>0.1353</v>
          </cell>
          <cell r="E924">
            <v>0.1353</v>
          </cell>
          <cell r="F924">
            <v>0.1353</v>
          </cell>
          <cell r="G924">
            <v>0.1353</v>
          </cell>
          <cell r="H924">
            <v>0.1353</v>
          </cell>
          <cell r="I924">
            <v>0.1353</v>
          </cell>
          <cell r="J924">
            <v>0.1353</v>
          </cell>
          <cell r="K924">
            <v>0.1353</v>
          </cell>
          <cell r="L924">
            <v>0.1353</v>
          </cell>
          <cell r="M924">
            <v>0.1353</v>
          </cell>
          <cell r="N924">
            <v>0.1353</v>
          </cell>
          <cell r="P924">
            <v>0.12177</v>
          </cell>
          <cell r="Q924">
            <v>0.12177</v>
          </cell>
          <cell r="R924">
            <v>0.12177</v>
          </cell>
          <cell r="S924">
            <v>0.12177</v>
          </cell>
          <cell r="U924">
            <v>0.10959300000000001</v>
          </cell>
          <cell r="V924">
            <v>9.8633700000000005E-2</v>
          </cell>
          <cell r="W924">
            <v>8.8770330000000008E-2</v>
          </cell>
        </row>
        <row r="925">
          <cell r="A925" t="str">
            <v>Mos</v>
          </cell>
        </row>
        <row r="926">
          <cell r="A926" t="str">
            <v>Con</v>
          </cell>
          <cell r="C926">
            <v>0.6</v>
          </cell>
          <cell r="D926">
            <v>0.6</v>
          </cell>
          <cell r="E926">
            <v>0.6</v>
          </cell>
          <cell r="F926">
            <v>0.6</v>
          </cell>
          <cell r="G926">
            <v>0.6</v>
          </cell>
          <cell r="H926">
            <v>0.6</v>
          </cell>
          <cell r="I926">
            <v>0.6</v>
          </cell>
          <cell r="J926">
            <v>0.6</v>
          </cell>
          <cell r="K926">
            <v>0.6</v>
          </cell>
          <cell r="L926">
            <v>0.6</v>
          </cell>
          <cell r="M926">
            <v>0.6</v>
          </cell>
          <cell r="N926">
            <v>0.6</v>
          </cell>
          <cell r="P926">
            <v>0.54</v>
          </cell>
          <cell r="Q926">
            <v>0.54</v>
          </cell>
          <cell r="R926">
            <v>0.54</v>
          </cell>
          <cell r="S926">
            <v>0.54</v>
          </cell>
          <cell r="U926">
            <v>0.48600000000000004</v>
          </cell>
          <cell r="V926">
            <v>0.43740000000000007</v>
          </cell>
          <cell r="W926">
            <v>0.39366000000000007</v>
          </cell>
        </row>
        <row r="928">
          <cell r="A928" t="str">
            <v>Aggr GTS Number of international min. per line</v>
          </cell>
        </row>
        <row r="929">
          <cell r="B929">
            <v>35765</v>
          </cell>
          <cell r="C929">
            <v>35796</v>
          </cell>
          <cell r="D929">
            <v>35827</v>
          </cell>
          <cell r="E929">
            <v>35855</v>
          </cell>
          <cell r="F929">
            <v>35886</v>
          </cell>
          <cell r="G929">
            <v>35916</v>
          </cell>
          <cell r="H929">
            <v>35947</v>
          </cell>
          <cell r="I929">
            <v>35977</v>
          </cell>
          <cell r="J929">
            <v>36008</v>
          </cell>
          <cell r="K929">
            <v>36039</v>
          </cell>
          <cell r="L929">
            <v>36069</v>
          </cell>
          <cell r="M929">
            <v>36100</v>
          </cell>
          <cell r="N929">
            <v>36130</v>
          </cell>
          <cell r="O929" t="str">
            <v>Total 98</v>
          </cell>
          <cell r="P929" t="str">
            <v>Q1-99</v>
          </cell>
          <cell r="Q929" t="str">
            <v>Q2-99</v>
          </cell>
          <cell r="R929" t="str">
            <v>Q3-99</v>
          </cell>
          <cell r="S929" t="str">
            <v>Q4-99</v>
          </cell>
          <cell r="T929" t="str">
            <v>Total 99</v>
          </cell>
          <cell r="U929">
            <v>2000</v>
          </cell>
          <cell r="V929">
            <v>2001</v>
          </cell>
          <cell r="W929">
            <v>2002</v>
          </cell>
        </row>
        <row r="930">
          <cell r="A930" t="str">
            <v>Ark</v>
          </cell>
          <cell r="C930">
            <v>333</v>
          </cell>
          <cell r="D930">
            <v>333</v>
          </cell>
          <cell r="E930">
            <v>333</v>
          </cell>
          <cell r="F930">
            <v>333</v>
          </cell>
          <cell r="G930">
            <v>333</v>
          </cell>
          <cell r="H930">
            <v>333</v>
          </cell>
          <cell r="I930">
            <v>333</v>
          </cell>
          <cell r="J930">
            <v>333</v>
          </cell>
          <cell r="K930">
            <v>333</v>
          </cell>
          <cell r="L930">
            <v>333</v>
          </cell>
          <cell r="M930">
            <v>333</v>
          </cell>
          <cell r="N930">
            <v>333</v>
          </cell>
          <cell r="P930">
            <v>333</v>
          </cell>
          <cell r="Q930">
            <v>333</v>
          </cell>
          <cell r="R930">
            <v>333</v>
          </cell>
          <cell r="S930">
            <v>333</v>
          </cell>
          <cell r="U930">
            <v>333</v>
          </cell>
          <cell r="V930">
            <v>333</v>
          </cell>
          <cell r="W930">
            <v>333</v>
          </cell>
        </row>
        <row r="931">
          <cell r="A931" t="str">
            <v>Eka</v>
          </cell>
          <cell r="C931">
            <v>333</v>
          </cell>
          <cell r="D931">
            <v>333</v>
          </cell>
          <cell r="E931">
            <v>333</v>
          </cell>
          <cell r="F931">
            <v>333</v>
          </cell>
          <cell r="G931">
            <v>333</v>
          </cell>
          <cell r="H931">
            <v>333</v>
          </cell>
          <cell r="I931">
            <v>333</v>
          </cell>
          <cell r="J931">
            <v>333</v>
          </cell>
          <cell r="K931">
            <v>333</v>
          </cell>
          <cell r="L931">
            <v>333</v>
          </cell>
          <cell r="M931">
            <v>333</v>
          </cell>
          <cell r="N931">
            <v>333</v>
          </cell>
          <cell r="P931">
            <v>333</v>
          </cell>
          <cell r="Q931">
            <v>333</v>
          </cell>
          <cell r="R931">
            <v>333</v>
          </cell>
          <cell r="S931">
            <v>333</v>
          </cell>
          <cell r="U931">
            <v>333</v>
          </cell>
          <cell r="V931">
            <v>333</v>
          </cell>
          <cell r="W931">
            <v>333</v>
          </cell>
        </row>
        <row r="932">
          <cell r="A932" t="str">
            <v>Irk</v>
          </cell>
          <cell r="C932">
            <v>333</v>
          </cell>
          <cell r="D932">
            <v>333</v>
          </cell>
          <cell r="E932">
            <v>333</v>
          </cell>
          <cell r="F932">
            <v>333</v>
          </cell>
          <cell r="G932">
            <v>333</v>
          </cell>
          <cell r="H932">
            <v>333</v>
          </cell>
          <cell r="I932">
            <v>333</v>
          </cell>
          <cell r="J932">
            <v>333</v>
          </cell>
          <cell r="K932">
            <v>333</v>
          </cell>
          <cell r="L932">
            <v>333</v>
          </cell>
          <cell r="M932">
            <v>333</v>
          </cell>
          <cell r="N932">
            <v>333</v>
          </cell>
          <cell r="P932">
            <v>333</v>
          </cell>
          <cell r="Q932">
            <v>333</v>
          </cell>
          <cell r="R932">
            <v>333</v>
          </cell>
          <cell r="S932">
            <v>333</v>
          </cell>
          <cell r="U932">
            <v>333</v>
          </cell>
          <cell r="V932">
            <v>333</v>
          </cell>
          <cell r="W932">
            <v>333</v>
          </cell>
        </row>
        <row r="933">
          <cell r="A933" t="str">
            <v>Kha</v>
          </cell>
          <cell r="C933">
            <v>333</v>
          </cell>
          <cell r="D933">
            <v>333</v>
          </cell>
          <cell r="E933">
            <v>333</v>
          </cell>
          <cell r="F933">
            <v>333</v>
          </cell>
          <cell r="G933">
            <v>333</v>
          </cell>
          <cell r="H933">
            <v>333</v>
          </cell>
          <cell r="I933">
            <v>333</v>
          </cell>
          <cell r="J933">
            <v>333</v>
          </cell>
          <cell r="K933">
            <v>333</v>
          </cell>
          <cell r="L933">
            <v>333</v>
          </cell>
          <cell r="M933">
            <v>333</v>
          </cell>
          <cell r="N933">
            <v>333</v>
          </cell>
          <cell r="P933">
            <v>333</v>
          </cell>
          <cell r="Q933">
            <v>333</v>
          </cell>
          <cell r="R933">
            <v>333</v>
          </cell>
          <cell r="S933">
            <v>333</v>
          </cell>
          <cell r="U933">
            <v>333</v>
          </cell>
          <cell r="V933">
            <v>333</v>
          </cell>
          <cell r="W933">
            <v>333</v>
          </cell>
        </row>
        <row r="934">
          <cell r="A934" t="str">
            <v>Kra</v>
          </cell>
          <cell r="C934">
            <v>333</v>
          </cell>
          <cell r="D934">
            <v>333</v>
          </cell>
          <cell r="E934">
            <v>333</v>
          </cell>
          <cell r="F934">
            <v>333</v>
          </cell>
          <cell r="G934">
            <v>333</v>
          </cell>
          <cell r="H934">
            <v>333</v>
          </cell>
          <cell r="I934">
            <v>333</v>
          </cell>
          <cell r="J934">
            <v>333</v>
          </cell>
          <cell r="K934">
            <v>333</v>
          </cell>
          <cell r="L934">
            <v>333</v>
          </cell>
          <cell r="M934">
            <v>333</v>
          </cell>
          <cell r="N934">
            <v>333</v>
          </cell>
          <cell r="P934">
            <v>333</v>
          </cell>
          <cell r="Q934">
            <v>333</v>
          </cell>
          <cell r="R934">
            <v>333</v>
          </cell>
          <cell r="S934">
            <v>333</v>
          </cell>
          <cell r="U934">
            <v>333</v>
          </cell>
          <cell r="V934">
            <v>333</v>
          </cell>
          <cell r="W934">
            <v>333</v>
          </cell>
        </row>
        <row r="935">
          <cell r="A935" t="str">
            <v>Niz</v>
          </cell>
          <cell r="C935">
            <v>333</v>
          </cell>
          <cell r="D935">
            <v>333</v>
          </cell>
          <cell r="E935">
            <v>333</v>
          </cell>
          <cell r="F935">
            <v>333</v>
          </cell>
          <cell r="G935">
            <v>333</v>
          </cell>
          <cell r="H935">
            <v>333</v>
          </cell>
          <cell r="I935">
            <v>333</v>
          </cell>
          <cell r="J935">
            <v>333</v>
          </cell>
          <cell r="K935">
            <v>600</v>
          </cell>
          <cell r="L935">
            <v>600</v>
          </cell>
          <cell r="M935">
            <v>600</v>
          </cell>
          <cell r="N935">
            <v>600</v>
          </cell>
          <cell r="P935">
            <v>600</v>
          </cell>
          <cell r="Q935">
            <v>600</v>
          </cell>
          <cell r="R935">
            <v>600</v>
          </cell>
          <cell r="S935">
            <v>600</v>
          </cell>
          <cell r="U935">
            <v>600</v>
          </cell>
          <cell r="V935">
            <v>600</v>
          </cell>
          <cell r="W935">
            <v>600</v>
          </cell>
        </row>
        <row r="936">
          <cell r="A936" t="str">
            <v>Nov</v>
          </cell>
          <cell r="C936">
            <v>333</v>
          </cell>
          <cell r="D936">
            <v>333</v>
          </cell>
          <cell r="E936">
            <v>333</v>
          </cell>
          <cell r="F936">
            <v>333</v>
          </cell>
          <cell r="G936">
            <v>333</v>
          </cell>
          <cell r="H936">
            <v>333</v>
          </cell>
          <cell r="I936">
            <v>333</v>
          </cell>
          <cell r="J936">
            <v>333</v>
          </cell>
          <cell r="K936">
            <v>333</v>
          </cell>
          <cell r="L936">
            <v>333</v>
          </cell>
          <cell r="M936">
            <v>333</v>
          </cell>
          <cell r="N936">
            <v>333</v>
          </cell>
          <cell r="P936">
            <v>333</v>
          </cell>
          <cell r="Q936">
            <v>333</v>
          </cell>
          <cell r="R936">
            <v>333</v>
          </cell>
          <cell r="S936">
            <v>333</v>
          </cell>
          <cell r="U936">
            <v>333</v>
          </cell>
          <cell r="V936">
            <v>333</v>
          </cell>
          <cell r="W936">
            <v>333</v>
          </cell>
        </row>
        <row r="937">
          <cell r="A937" t="str">
            <v>Syk</v>
          </cell>
          <cell r="C937">
            <v>333</v>
          </cell>
          <cell r="D937">
            <v>333</v>
          </cell>
          <cell r="E937">
            <v>333</v>
          </cell>
          <cell r="F937">
            <v>333</v>
          </cell>
          <cell r="G937">
            <v>333</v>
          </cell>
          <cell r="H937">
            <v>333</v>
          </cell>
          <cell r="I937">
            <v>333</v>
          </cell>
          <cell r="J937">
            <v>333</v>
          </cell>
          <cell r="K937">
            <v>333</v>
          </cell>
          <cell r="L937">
            <v>333</v>
          </cell>
          <cell r="M937">
            <v>333</v>
          </cell>
          <cell r="N937">
            <v>333</v>
          </cell>
          <cell r="P937">
            <v>333</v>
          </cell>
          <cell r="Q937">
            <v>333</v>
          </cell>
          <cell r="R937">
            <v>333</v>
          </cell>
          <cell r="S937">
            <v>333</v>
          </cell>
          <cell r="U937">
            <v>333</v>
          </cell>
          <cell r="V937">
            <v>333</v>
          </cell>
          <cell r="W937">
            <v>333</v>
          </cell>
        </row>
        <row r="938">
          <cell r="A938" t="str">
            <v>Tyu</v>
          </cell>
          <cell r="C938">
            <v>333</v>
          </cell>
          <cell r="D938">
            <v>333</v>
          </cell>
          <cell r="E938">
            <v>333</v>
          </cell>
          <cell r="F938">
            <v>333</v>
          </cell>
          <cell r="G938">
            <v>333</v>
          </cell>
          <cell r="H938">
            <v>333</v>
          </cell>
          <cell r="I938">
            <v>333</v>
          </cell>
          <cell r="J938">
            <v>333</v>
          </cell>
          <cell r="K938">
            <v>333</v>
          </cell>
          <cell r="L938">
            <v>333</v>
          </cell>
          <cell r="M938">
            <v>333</v>
          </cell>
          <cell r="N938">
            <v>333</v>
          </cell>
          <cell r="P938">
            <v>333</v>
          </cell>
          <cell r="Q938">
            <v>333</v>
          </cell>
          <cell r="R938">
            <v>333</v>
          </cell>
          <cell r="S938">
            <v>333</v>
          </cell>
          <cell r="U938">
            <v>333</v>
          </cell>
          <cell r="V938">
            <v>333</v>
          </cell>
          <cell r="W938">
            <v>333</v>
          </cell>
        </row>
        <row r="939">
          <cell r="A939" t="str">
            <v>Ufa</v>
          </cell>
          <cell r="C939">
            <v>333</v>
          </cell>
          <cell r="D939">
            <v>333</v>
          </cell>
          <cell r="E939">
            <v>333</v>
          </cell>
          <cell r="F939">
            <v>333</v>
          </cell>
          <cell r="G939">
            <v>333</v>
          </cell>
          <cell r="H939">
            <v>333</v>
          </cell>
          <cell r="I939">
            <v>333</v>
          </cell>
          <cell r="J939">
            <v>333</v>
          </cell>
          <cell r="K939">
            <v>333</v>
          </cell>
          <cell r="L939">
            <v>333</v>
          </cell>
          <cell r="M939">
            <v>333</v>
          </cell>
          <cell r="N939">
            <v>333</v>
          </cell>
          <cell r="P939">
            <v>333</v>
          </cell>
          <cell r="Q939">
            <v>333</v>
          </cell>
          <cell r="R939">
            <v>333</v>
          </cell>
          <cell r="S939">
            <v>333</v>
          </cell>
          <cell r="U939">
            <v>333</v>
          </cell>
          <cell r="V939">
            <v>333</v>
          </cell>
          <cell r="W939">
            <v>333</v>
          </cell>
        </row>
        <row r="940">
          <cell r="A940" t="str">
            <v>Vla</v>
          </cell>
          <cell r="C940">
            <v>333</v>
          </cell>
          <cell r="D940">
            <v>333</v>
          </cell>
          <cell r="E940">
            <v>333</v>
          </cell>
          <cell r="F940">
            <v>333</v>
          </cell>
          <cell r="G940">
            <v>333</v>
          </cell>
          <cell r="H940">
            <v>333</v>
          </cell>
          <cell r="I940">
            <v>450</v>
          </cell>
          <cell r="J940">
            <v>450</v>
          </cell>
          <cell r="K940">
            <v>450</v>
          </cell>
          <cell r="L940">
            <v>450</v>
          </cell>
          <cell r="M940">
            <v>450</v>
          </cell>
          <cell r="N940">
            <v>450</v>
          </cell>
          <cell r="P940">
            <v>450</v>
          </cell>
          <cell r="Q940">
            <v>450</v>
          </cell>
          <cell r="R940">
            <v>450</v>
          </cell>
          <cell r="S940">
            <v>450</v>
          </cell>
          <cell r="U940">
            <v>450</v>
          </cell>
          <cell r="V940">
            <v>450</v>
          </cell>
          <cell r="W940">
            <v>450</v>
          </cell>
        </row>
        <row r="941">
          <cell r="A941" t="str">
            <v>Vol</v>
          </cell>
          <cell r="C941">
            <v>333</v>
          </cell>
          <cell r="D941">
            <v>333</v>
          </cell>
          <cell r="E941">
            <v>333</v>
          </cell>
          <cell r="F941">
            <v>333</v>
          </cell>
          <cell r="G941">
            <v>333</v>
          </cell>
          <cell r="H941">
            <v>333</v>
          </cell>
          <cell r="I941">
            <v>333</v>
          </cell>
          <cell r="J941">
            <v>333</v>
          </cell>
          <cell r="K941">
            <v>333</v>
          </cell>
          <cell r="L941">
            <v>333</v>
          </cell>
          <cell r="M941">
            <v>333</v>
          </cell>
          <cell r="N941">
            <v>333</v>
          </cell>
          <cell r="P941">
            <v>333</v>
          </cell>
          <cell r="Q941">
            <v>333</v>
          </cell>
          <cell r="R941">
            <v>333</v>
          </cell>
          <cell r="S941">
            <v>333</v>
          </cell>
          <cell r="U941">
            <v>333</v>
          </cell>
          <cell r="V941">
            <v>333</v>
          </cell>
          <cell r="W941">
            <v>333</v>
          </cell>
        </row>
        <row r="942">
          <cell r="A942" t="str">
            <v>Vor</v>
          </cell>
          <cell r="C942">
            <v>333</v>
          </cell>
          <cell r="D942">
            <v>333</v>
          </cell>
          <cell r="E942">
            <v>333</v>
          </cell>
          <cell r="F942">
            <v>333</v>
          </cell>
          <cell r="G942">
            <v>333</v>
          </cell>
          <cell r="H942">
            <v>333</v>
          </cell>
          <cell r="I942">
            <v>333</v>
          </cell>
          <cell r="J942">
            <v>333</v>
          </cell>
          <cell r="K942">
            <v>333</v>
          </cell>
          <cell r="L942">
            <v>333</v>
          </cell>
          <cell r="M942">
            <v>333</v>
          </cell>
          <cell r="N942">
            <v>333</v>
          </cell>
          <cell r="P942">
            <v>333</v>
          </cell>
          <cell r="Q942">
            <v>333</v>
          </cell>
          <cell r="R942">
            <v>333</v>
          </cell>
          <cell r="S942">
            <v>333</v>
          </cell>
          <cell r="U942">
            <v>333</v>
          </cell>
          <cell r="V942">
            <v>333</v>
          </cell>
          <cell r="W942">
            <v>333</v>
          </cell>
        </row>
        <row r="943">
          <cell r="A943" t="str">
            <v>97#1</v>
          </cell>
          <cell r="C943">
            <v>333</v>
          </cell>
          <cell r="D943">
            <v>333</v>
          </cell>
          <cell r="E943">
            <v>333</v>
          </cell>
          <cell r="F943">
            <v>333</v>
          </cell>
          <cell r="G943">
            <v>333</v>
          </cell>
          <cell r="H943">
            <v>333</v>
          </cell>
          <cell r="I943">
            <v>333</v>
          </cell>
          <cell r="J943">
            <v>333</v>
          </cell>
          <cell r="K943">
            <v>333</v>
          </cell>
          <cell r="L943">
            <v>333</v>
          </cell>
          <cell r="M943">
            <v>333</v>
          </cell>
          <cell r="N943">
            <v>333</v>
          </cell>
          <cell r="P943">
            <v>333</v>
          </cell>
          <cell r="Q943">
            <v>333</v>
          </cell>
          <cell r="R943">
            <v>333</v>
          </cell>
          <cell r="S943">
            <v>333</v>
          </cell>
          <cell r="U943">
            <v>333</v>
          </cell>
          <cell r="V943">
            <v>333</v>
          </cell>
          <cell r="W943">
            <v>333</v>
          </cell>
        </row>
        <row r="944">
          <cell r="A944" t="str">
            <v>97#2</v>
          </cell>
          <cell r="C944">
            <v>333</v>
          </cell>
          <cell r="D944">
            <v>333</v>
          </cell>
          <cell r="E944">
            <v>333</v>
          </cell>
          <cell r="F944">
            <v>333</v>
          </cell>
          <cell r="G944">
            <v>333</v>
          </cell>
          <cell r="H944">
            <v>333</v>
          </cell>
          <cell r="I944">
            <v>333</v>
          </cell>
          <cell r="J944">
            <v>333</v>
          </cell>
          <cell r="K944">
            <v>333</v>
          </cell>
          <cell r="L944">
            <v>333</v>
          </cell>
          <cell r="M944">
            <v>333</v>
          </cell>
          <cell r="N944">
            <v>333</v>
          </cell>
          <cell r="P944">
            <v>333</v>
          </cell>
          <cell r="Q944">
            <v>333</v>
          </cell>
          <cell r="R944">
            <v>333</v>
          </cell>
          <cell r="S944">
            <v>333</v>
          </cell>
          <cell r="U944">
            <v>333</v>
          </cell>
          <cell r="V944">
            <v>333</v>
          </cell>
          <cell r="W944">
            <v>333</v>
          </cell>
        </row>
        <row r="946">
          <cell r="A946" t="str">
            <v>98#N</v>
          </cell>
          <cell r="C946">
            <v>333</v>
          </cell>
          <cell r="D946">
            <v>333</v>
          </cell>
          <cell r="E946">
            <v>333</v>
          </cell>
          <cell r="F946">
            <v>333</v>
          </cell>
          <cell r="G946">
            <v>333</v>
          </cell>
          <cell r="H946">
            <v>333</v>
          </cell>
          <cell r="I946">
            <v>333</v>
          </cell>
          <cell r="J946">
            <v>333</v>
          </cell>
          <cell r="K946">
            <v>333</v>
          </cell>
          <cell r="L946">
            <v>333</v>
          </cell>
          <cell r="M946">
            <v>333</v>
          </cell>
          <cell r="N946">
            <v>333</v>
          </cell>
          <cell r="P946">
            <v>333</v>
          </cell>
          <cell r="Q946">
            <v>333</v>
          </cell>
          <cell r="R946">
            <v>333</v>
          </cell>
          <cell r="S946">
            <v>333</v>
          </cell>
          <cell r="U946">
            <v>333</v>
          </cell>
          <cell r="V946">
            <v>333</v>
          </cell>
          <cell r="W946">
            <v>333</v>
          </cell>
        </row>
        <row r="947">
          <cell r="A947" t="str">
            <v>99#N</v>
          </cell>
          <cell r="C947">
            <v>333</v>
          </cell>
          <cell r="D947">
            <v>333</v>
          </cell>
          <cell r="E947">
            <v>333</v>
          </cell>
          <cell r="F947">
            <v>333</v>
          </cell>
          <cell r="G947">
            <v>333</v>
          </cell>
          <cell r="H947">
            <v>333</v>
          </cell>
          <cell r="I947">
            <v>333</v>
          </cell>
          <cell r="J947">
            <v>333</v>
          </cell>
          <cell r="K947">
            <v>333</v>
          </cell>
          <cell r="L947">
            <v>333</v>
          </cell>
          <cell r="M947">
            <v>333</v>
          </cell>
          <cell r="N947">
            <v>333</v>
          </cell>
          <cell r="P947">
            <v>333</v>
          </cell>
          <cell r="Q947">
            <v>333</v>
          </cell>
          <cell r="R947">
            <v>333</v>
          </cell>
          <cell r="S947">
            <v>333</v>
          </cell>
          <cell r="U947">
            <v>333</v>
          </cell>
          <cell r="V947">
            <v>333</v>
          </cell>
          <cell r="W947">
            <v>333</v>
          </cell>
        </row>
        <row r="948">
          <cell r="A948" t="str">
            <v>00#N</v>
          </cell>
          <cell r="C948">
            <v>333</v>
          </cell>
          <cell r="D948">
            <v>333</v>
          </cell>
          <cell r="E948">
            <v>333</v>
          </cell>
          <cell r="F948">
            <v>333</v>
          </cell>
          <cell r="G948">
            <v>333</v>
          </cell>
          <cell r="H948">
            <v>333</v>
          </cell>
          <cell r="I948">
            <v>333</v>
          </cell>
          <cell r="J948">
            <v>333</v>
          </cell>
          <cell r="K948">
            <v>333</v>
          </cell>
          <cell r="L948">
            <v>333</v>
          </cell>
          <cell r="M948">
            <v>333</v>
          </cell>
          <cell r="N948">
            <v>333</v>
          </cell>
          <cell r="P948">
            <v>333</v>
          </cell>
          <cell r="Q948">
            <v>333</v>
          </cell>
          <cell r="R948">
            <v>333</v>
          </cell>
          <cell r="S948">
            <v>333</v>
          </cell>
          <cell r="U948">
            <v>333</v>
          </cell>
          <cell r="V948">
            <v>333</v>
          </cell>
          <cell r="W948">
            <v>333</v>
          </cell>
        </row>
        <row r="949">
          <cell r="A949" t="str">
            <v>01#N</v>
          </cell>
          <cell r="C949">
            <v>333</v>
          </cell>
          <cell r="D949">
            <v>333</v>
          </cell>
          <cell r="E949">
            <v>333</v>
          </cell>
          <cell r="F949">
            <v>333</v>
          </cell>
          <cell r="G949">
            <v>333</v>
          </cell>
          <cell r="H949">
            <v>333</v>
          </cell>
          <cell r="I949">
            <v>333</v>
          </cell>
          <cell r="J949">
            <v>333</v>
          </cell>
          <cell r="K949">
            <v>333</v>
          </cell>
          <cell r="L949">
            <v>333</v>
          </cell>
          <cell r="M949">
            <v>333</v>
          </cell>
          <cell r="N949">
            <v>333</v>
          </cell>
          <cell r="P949">
            <v>333</v>
          </cell>
          <cell r="Q949">
            <v>333</v>
          </cell>
          <cell r="R949">
            <v>333</v>
          </cell>
          <cell r="S949">
            <v>333</v>
          </cell>
          <cell r="U949">
            <v>333</v>
          </cell>
          <cell r="V949">
            <v>333</v>
          </cell>
          <cell r="W949">
            <v>333</v>
          </cell>
        </row>
        <row r="950">
          <cell r="A950" t="str">
            <v>Mos</v>
          </cell>
        </row>
        <row r="951">
          <cell r="A951" t="str">
            <v>Con</v>
          </cell>
        </row>
        <row r="953">
          <cell r="A953" t="str">
            <v>Aggr GTS Average international tariff</v>
          </cell>
        </row>
        <row r="954">
          <cell r="B954">
            <v>35765</v>
          </cell>
          <cell r="C954">
            <v>35796</v>
          </cell>
          <cell r="D954">
            <v>35827</v>
          </cell>
          <cell r="E954">
            <v>35855</v>
          </cell>
          <cell r="F954">
            <v>35886</v>
          </cell>
          <cell r="G954">
            <v>35916</v>
          </cell>
          <cell r="H954">
            <v>35947</v>
          </cell>
          <cell r="I954">
            <v>35977</v>
          </cell>
          <cell r="J954">
            <v>36008</v>
          </cell>
          <cell r="K954">
            <v>36039</v>
          </cell>
          <cell r="L954">
            <v>36069</v>
          </cell>
          <cell r="M954">
            <v>36100</v>
          </cell>
          <cell r="N954">
            <v>36130</v>
          </cell>
          <cell r="O954" t="str">
            <v>Total 98</v>
          </cell>
          <cell r="P954" t="str">
            <v>Q1-99</v>
          </cell>
          <cell r="Q954" t="str">
            <v>Q2-99</v>
          </cell>
          <cell r="R954" t="str">
            <v>Q3-99</v>
          </cell>
          <cell r="S954" t="str">
            <v>Q4-99</v>
          </cell>
          <cell r="T954" t="str">
            <v>Total 99</v>
          </cell>
          <cell r="U954">
            <v>2000</v>
          </cell>
          <cell r="V954">
            <v>2001</v>
          </cell>
          <cell r="W954">
            <v>2002</v>
          </cell>
        </row>
        <row r="955">
          <cell r="A955" t="str">
            <v>Ark</v>
          </cell>
          <cell r="C955">
            <v>0.38230000000000003</v>
          </cell>
          <cell r="D955">
            <v>0.38230000000000003</v>
          </cell>
          <cell r="E955">
            <v>0.38230000000000003</v>
          </cell>
          <cell r="F955">
            <v>0.38230000000000003</v>
          </cell>
          <cell r="G955">
            <v>0.38230000000000003</v>
          </cell>
          <cell r="H955">
            <v>0.38230000000000003</v>
          </cell>
          <cell r="I955">
            <v>0.38230000000000003</v>
          </cell>
          <cell r="J955">
            <v>0.38230000000000003</v>
          </cell>
          <cell r="K955">
            <v>0.38230000000000003</v>
          </cell>
          <cell r="L955">
            <v>0.38230000000000003</v>
          </cell>
          <cell r="M955">
            <v>0.38230000000000003</v>
          </cell>
          <cell r="N955">
            <v>0.38230000000000003</v>
          </cell>
          <cell r="P955">
            <v>0.34407000000000004</v>
          </cell>
          <cell r="Q955">
            <v>0.34407000000000004</v>
          </cell>
          <cell r="R955">
            <v>0.34407000000000004</v>
          </cell>
          <cell r="S955">
            <v>0.34407000000000004</v>
          </cell>
          <cell r="U955">
            <v>0.30966300000000002</v>
          </cell>
          <cell r="V955">
            <v>0.27869670000000002</v>
          </cell>
          <cell r="W955">
            <v>0.25082703000000001</v>
          </cell>
        </row>
        <row r="956">
          <cell r="A956" t="str">
            <v>Eka</v>
          </cell>
          <cell r="C956">
            <v>0.38230000000000003</v>
          </cell>
          <cell r="D956">
            <v>0.38230000000000003</v>
          </cell>
          <cell r="E956">
            <v>0.38230000000000003</v>
          </cell>
          <cell r="F956">
            <v>0.38230000000000003</v>
          </cell>
          <cell r="G956">
            <v>0.38230000000000003</v>
          </cell>
          <cell r="H956">
            <v>0.38230000000000003</v>
          </cell>
          <cell r="I956">
            <v>0.38230000000000003</v>
          </cell>
          <cell r="J956">
            <v>0.38230000000000003</v>
          </cell>
          <cell r="K956">
            <v>0.38230000000000003</v>
          </cell>
          <cell r="L956">
            <v>0.38230000000000003</v>
          </cell>
          <cell r="M956">
            <v>0.38230000000000003</v>
          </cell>
          <cell r="N956">
            <v>0.38230000000000003</v>
          </cell>
          <cell r="P956">
            <v>0.34407000000000004</v>
          </cell>
          <cell r="Q956">
            <v>0.34407000000000004</v>
          </cell>
          <cell r="R956">
            <v>0.34407000000000004</v>
          </cell>
          <cell r="S956">
            <v>0.34407000000000004</v>
          </cell>
          <cell r="U956">
            <v>0.30966300000000002</v>
          </cell>
          <cell r="V956">
            <v>0.27869670000000002</v>
          </cell>
          <cell r="W956">
            <v>0.25082703000000001</v>
          </cell>
        </row>
        <row r="957">
          <cell r="A957" t="str">
            <v>Irk</v>
          </cell>
          <cell r="C957">
            <v>0.38230000000000003</v>
          </cell>
          <cell r="D957">
            <v>0.38230000000000003</v>
          </cell>
          <cell r="E957">
            <v>0.38230000000000003</v>
          </cell>
          <cell r="F957">
            <v>0.38230000000000003</v>
          </cell>
          <cell r="G957">
            <v>0.38230000000000003</v>
          </cell>
          <cell r="H957">
            <v>0.38230000000000003</v>
          </cell>
          <cell r="I957">
            <v>0.38230000000000003</v>
          </cell>
          <cell r="J957">
            <v>0.38230000000000003</v>
          </cell>
          <cell r="K957">
            <v>0.38230000000000003</v>
          </cell>
          <cell r="L957">
            <v>0.38230000000000003</v>
          </cell>
          <cell r="M957">
            <v>0.38230000000000003</v>
          </cell>
          <cell r="N957">
            <v>0.38230000000000003</v>
          </cell>
          <cell r="P957">
            <v>0.34407000000000004</v>
          </cell>
          <cell r="Q957">
            <v>0.34407000000000004</v>
          </cell>
          <cell r="R957">
            <v>0.34407000000000004</v>
          </cell>
          <cell r="S957">
            <v>0.34407000000000004</v>
          </cell>
          <cell r="U957">
            <v>0.30966300000000002</v>
          </cell>
          <cell r="V957">
            <v>0.27869670000000002</v>
          </cell>
          <cell r="W957">
            <v>0.25082703000000001</v>
          </cell>
        </row>
        <row r="958">
          <cell r="A958" t="str">
            <v>Kha</v>
          </cell>
          <cell r="C958">
            <v>0.38230000000000003</v>
          </cell>
          <cell r="D958">
            <v>0.38230000000000003</v>
          </cell>
          <cell r="E958">
            <v>0.38230000000000003</v>
          </cell>
          <cell r="F958">
            <v>0.38230000000000003</v>
          </cell>
          <cell r="G958">
            <v>0.38230000000000003</v>
          </cell>
          <cell r="H958">
            <v>0.38230000000000003</v>
          </cell>
          <cell r="I958">
            <v>0.38230000000000003</v>
          </cell>
          <cell r="J958">
            <v>0.38230000000000003</v>
          </cell>
          <cell r="K958">
            <v>0.38230000000000003</v>
          </cell>
          <cell r="L958">
            <v>0.38230000000000003</v>
          </cell>
          <cell r="M958">
            <v>0.38230000000000003</v>
          </cell>
          <cell r="N958">
            <v>0.38230000000000003</v>
          </cell>
          <cell r="P958">
            <v>0.34407000000000004</v>
          </cell>
          <cell r="Q958">
            <v>0.34407000000000004</v>
          </cell>
          <cell r="R958">
            <v>0.34407000000000004</v>
          </cell>
          <cell r="S958">
            <v>0.34407000000000004</v>
          </cell>
          <cell r="U958">
            <v>0.30966300000000002</v>
          </cell>
          <cell r="V958">
            <v>0.27869670000000002</v>
          </cell>
          <cell r="W958">
            <v>0.25082703000000001</v>
          </cell>
        </row>
        <row r="959">
          <cell r="A959" t="str">
            <v>Kra</v>
          </cell>
          <cell r="C959">
            <v>0.38230000000000003</v>
          </cell>
          <cell r="D959">
            <v>0.38230000000000003</v>
          </cell>
          <cell r="E959">
            <v>0.38230000000000003</v>
          </cell>
          <cell r="F959">
            <v>0.38230000000000003</v>
          </cell>
          <cell r="G959">
            <v>0.38230000000000003</v>
          </cell>
          <cell r="H959">
            <v>0.38230000000000003</v>
          </cell>
          <cell r="I959">
            <v>0.38230000000000003</v>
          </cell>
          <cell r="J959">
            <v>0.38230000000000003</v>
          </cell>
          <cell r="K959">
            <v>0.38230000000000003</v>
          </cell>
          <cell r="L959">
            <v>0.38230000000000003</v>
          </cell>
          <cell r="M959">
            <v>0.38230000000000003</v>
          </cell>
          <cell r="N959">
            <v>0.38230000000000003</v>
          </cell>
          <cell r="P959">
            <v>0.34407000000000004</v>
          </cell>
          <cell r="Q959">
            <v>0.34407000000000004</v>
          </cell>
          <cell r="R959">
            <v>0.34407000000000004</v>
          </cell>
          <cell r="S959">
            <v>0.34407000000000004</v>
          </cell>
          <cell r="U959">
            <v>0.30966300000000002</v>
          </cell>
          <cell r="V959">
            <v>0.27869670000000002</v>
          </cell>
          <cell r="W959">
            <v>0.25082703000000001</v>
          </cell>
        </row>
        <row r="960">
          <cell r="A960" t="str">
            <v>Niz</v>
          </cell>
          <cell r="C960">
            <v>0.38230000000000003</v>
          </cell>
          <cell r="D960">
            <v>0.38230000000000003</v>
          </cell>
          <cell r="E960">
            <v>0.38230000000000003</v>
          </cell>
          <cell r="F960">
            <v>0.38230000000000003</v>
          </cell>
          <cell r="G960">
            <v>0.38230000000000003</v>
          </cell>
          <cell r="H960">
            <v>0.38230000000000003</v>
          </cell>
          <cell r="I960">
            <v>0.38230000000000003</v>
          </cell>
          <cell r="J960">
            <v>0.38230000000000003</v>
          </cell>
          <cell r="K960">
            <v>0.38230000000000003</v>
          </cell>
          <cell r="L960">
            <v>0.38230000000000003</v>
          </cell>
          <cell r="M960">
            <v>0.38230000000000003</v>
          </cell>
          <cell r="N960">
            <v>0.38230000000000003</v>
          </cell>
          <cell r="P960">
            <v>0.34407000000000004</v>
          </cell>
          <cell r="Q960">
            <v>0.34407000000000004</v>
          </cell>
          <cell r="R960">
            <v>0.34407000000000004</v>
          </cell>
          <cell r="S960">
            <v>0.34407000000000004</v>
          </cell>
          <cell r="U960">
            <v>0.30966300000000002</v>
          </cell>
          <cell r="V960">
            <v>0.27869670000000002</v>
          </cell>
          <cell r="W960">
            <v>0.25082703000000001</v>
          </cell>
        </row>
        <row r="961">
          <cell r="A961" t="str">
            <v>Nov</v>
          </cell>
          <cell r="C961">
            <v>0.38230000000000003</v>
          </cell>
          <cell r="D961">
            <v>0.38230000000000003</v>
          </cell>
          <cell r="E961">
            <v>0.38230000000000003</v>
          </cell>
          <cell r="F961">
            <v>0.38230000000000003</v>
          </cell>
          <cell r="G961">
            <v>0.38230000000000003</v>
          </cell>
          <cell r="H961">
            <v>0.38230000000000003</v>
          </cell>
          <cell r="I961">
            <v>0.38230000000000003</v>
          </cell>
          <cell r="J961">
            <v>0.38230000000000003</v>
          </cell>
          <cell r="K961">
            <v>0.38230000000000003</v>
          </cell>
          <cell r="L961">
            <v>0.38230000000000003</v>
          </cell>
          <cell r="M961">
            <v>0.38230000000000003</v>
          </cell>
          <cell r="N961">
            <v>0.38230000000000003</v>
          </cell>
          <cell r="P961">
            <v>0.34407000000000004</v>
          </cell>
          <cell r="Q961">
            <v>0.34407000000000004</v>
          </cell>
          <cell r="R961">
            <v>0.34407000000000004</v>
          </cell>
          <cell r="S961">
            <v>0.34407000000000004</v>
          </cell>
          <cell r="U961">
            <v>0.30966300000000002</v>
          </cell>
          <cell r="V961">
            <v>0.27869670000000002</v>
          </cell>
          <cell r="W961">
            <v>0.25082703000000001</v>
          </cell>
        </row>
        <row r="962">
          <cell r="A962" t="str">
            <v>Syk</v>
          </cell>
          <cell r="C962">
            <v>0.38230000000000003</v>
          </cell>
          <cell r="D962">
            <v>0.38230000000000003</v>
          </cell>
          <cell r="E962">
            <v>0.38230000000000003</v>
          </cell>
          <cell r="F962">
            <v>0.38230000000000003</v>
          </cell>
          <cell r="G962">
            <v>0.38230000000000003</v>
          </cell>
          <cell r="H962">
            <v>0.38230000000000003</v>
          </cell>
          <cell r="I962">
            <v>0.38230000000000003</v>
          </cell>
          <cell r="J962">
            <v>0.38230000000000003</v>
          </cell>
          <cell r="K962">
            <v>0.38230000000000003</v>
          </cell>
          <cell r="L962">
            <v>0.38230000000000003</v>
          </cell>
          <cell r="M962">
            <v>0.38230000000000003</v>
          </cell>
          <cell r="N962">
            <v>0.38230000000000003</v>
          </cell>
          <cell r="P962">
            <v>0.34407000000000004</v>
          </cell>
          <cell r="Q962">
            <v>0.34407000000000004</v>
          </cell>
          <cell r="R962">
            <v>0.34407000000000004</v>
          </cell>
          <cell r="S962">
            <v>0.34407000000000004</v>
          </cell>
          <cell r="U962">
            <v>0.30966300000000002</v>
          </cell>
          <cell r="V962">
            <v>0.27869670000000002</v>
          </cell>
          <cell r="W962">
            <v>0.25082703000000001</v>
          </cell>
        </row>
        <row r="963">
          <cell r="A963" t="str">
            <v>Tyu</v>
          </cell>
          <cell r="C963">
            <v>0.38230000000000003</v>
          </cell>
          <cell r="D963">
            <v>0.38230000000000003</v>
          </cell>
          <cell r="E963">
            <v>0.38230000000000003</v>
          </cell>
          <cell r="F963">
            <v>0.38230000000000003</v>
          </cell>
          <cell r="G963">
            <v>0.38230000000000003</v>
          </cell>
          <cell r="H963">
            <v>0.38230000000000003</v>
          </cell>
          <cell r="I963">
            <v>0.38230000000000003</v>
          </cell>
          <cell r="J963">
            <v>0.38230000000000003</v>
          </cell>
          <cell r="K963">
            <v>0.38230000000000003</v>
          </cell>
          <cell r="L963">
            <v>0.38230000000000003</v>
          </cell>
          <cell r="M963">
            <v>0.38230000000000003</v>
          </cell>
          <cell r="N963">
            <v>0.38230000000000003</v>
          </cell>
          <cell r="P963">
            <v>0.34407000000000004</v>
          </cell>
          <cell r="Q963">
            <v>0.34407000000000004</v>
          </cell>
          <cell r="R963">
            <v>0.34407000000000004</v>
          </cell>
          <cell r="S963">
            <v>0.34407000000000004</v>
          </cell>
          <cell r="U963">
            <v>0.30966300000000002</v>
          </cell>
          <cell r="V963">
            <v>0.27869670000000002</v>
          </cell>
          <cell r="W963">
            <v>0.25082703000000001</v>
          </cell>
        </row>
        <row r="964">
          <cell r="A964" t="str">
            <v>Ufa</v>
          </cell>
          <cell r="C964">
            <v>0.38230000000000003</v>
          </cell>
          <cell r="D964">
            <v>0.38230000000000003</v>
          </cell>
          <cell r="E964">
            <v>0.38230000000000003</v>
          </cell>
          <cell r="F964">
            <v>0.38230000000000003</v>
          </cell>
          <cell r="G964">
            <v>0.38230000000000003</v>
          </cell>
          <cell r="H964">
            <v>0.38230000000000003</v>
          </cell>
          <cell r="I964">
            <v>0.38230000000000003</v>
          </cell>
          <cell r="J964">
            <v>0.38230000000000003</v>
          </cell>
          <cell r="K964">
            <v>0.38230000000000003</v>
          </cell>
          <cell r="L964">
            <v>0.38230000000000003</v>
          </cell>
          <cell r="M964">
            <v>0.38230000000000003</v>
          </cell>
          <cell r="N964">
            <v>0.38230000000000003</v>
          </cell>
          <cell r="P964">
            <v>0.34407000000000004</v>
          </cell>
          <cell r="Q964">
            <v>0.34407000000000004</v>
          </cell>
          <cell r="R964">
            <v>0.34407000000000004</v>
          </cell>
          <cell r="S964">
            <v>0.34407000000000004</v>
          </cell>
          <cell r="U964">
            <v>0.30966300000000002</v>
          </cell>
          <cell r="V964">
            <v>0.27869670000000002</v>
          </cell>
          <cell r="W964">
            <v>0.25082703000000001</v>
          </cell>
        </row>
        <row r="965">
          <cell r="A965" t="str">
            <v>Vla</v>
          </cell>
          <cell r="C965">
            <v>0.38230000000000003</v>
          </cell>
          <cell r="D965">
            <v>0.38230000000000003</v>
          </cell>
          <cell r="E965">
            <v>0.38230000000000003</v>
          </cell>
          <cell r="F965">
            <v>0.38230000000000003</v>
          </cell>
          <cell r="G965">
            <v>0.38230000000000003</v>
          </cell>
          <cell r="H965">
            <v>0.38230000000000003</v>
          </cell>
          <cell r="I965">
            <v>0.38230000000000003</v>
          </cell>
          <cell r="J965">
            <v>0.38230000000000003</v>
          </cell>
          <cell r="K965">
            <v>0.38230000000000003</v>
          </cell>
          <cell r="L965">
            <v>0.38230000000000003</v>
          </cell>
          <cell r="M965">
            <v>0.38230000000000003</v>
          </cell>
          <cell r="N965">
            <v>0.38230000000000003</v>
          </cell>
          <cell r="P965">
            <v>0.34407000000000004</v>
          </cell>
          <cell r="Q965">
            <v>0.34407000000000004</v>
          </cell>
          <cell r="R965">
            <v>0.34407000000000004</v>
          </cell>
          <cell r="S965">
            <v>0.34407000000000004</v>
          </cell>
          <cell r="U965">
            <v>0.30966300000000002</v>
          </cell>
          <cell r="V965">
            <v>0.27869670000000002</v>
          </cell>
          <cell r="W965">
            <v>0.25082703000000001</v>
          </cell>
        </row>
        <row r="966">
          <cell r="A966" t="str">
            <v>Vol</v>
          </cell>
          <cell r="C966">
            <v>0.38230000000000003</v>
          </cell>
          <cell r="D966">
            <v>0.38230000000000003</v>
          </cell>
          <cell r="E966">
            <v>0.38230000000000003</v>
          </cell>
          <cell r="F966">
            <v>0.38230000000000003</v>
          </cell>
          <cell r="G966">
            <v>0.38230000000000003</v>
          </cell>
          <cell r="H966">
            <v>0.38230000000000003</v>
          </cell>
          <cell r="I966">
            <v>0.38230000000000003</v>
          </cell>
          <cell r="J966">
            <v>0.38230000000000003</v>
          </cell>
          <cell r="K966">
            <v>0.38230000000000003</v>
          </cell>
          <cell r="L966">
            <v>0.38230000000000003</v>
          </cell>
          <cell r="M966">
            <v>0.38230000000000003</v>
          </cell>
          <cell r="N966">
            <v>0.38230000000000003</v>
          </cell>
          <cell r="P966">
            <v>0.34407000000000004</v>
          </cell>
          <cell r="Q966">
            <v>0.34407000000000004</v>
          </cell>
          <cell r="R966">
            <v>0.34407000000000004</v>
          </cell>
          <cell r="S966">
            <v>0.34407000000000004</v>
          </cell>
          <cell r="U966">
            <v>0.30966300000000002</v>
          </cell>
          <cell r="V966">
            <v>0.27869670000000002</v>
          </cell>
          <cell r="W966">
            <v>0.25082703000000001</v>
          </cell>
        </row>
        <row r="967">
          <cell r="A967" t="str">
            <v>Vor</v>
          </cell>
          <cell r="C967">
            <v>0.38230000000000003</v>
          </cell>
          <cell r="D967">
            <v>0.38230000000000003</v>
          </cell>
          <cell r="E967">
            <v>0.38230000000000003</v>
          </cell>
          <cell r="F967">
            <v>0.38230000000000003</v>
          </cell>
          <cell r="G967">
            <v>0.38230000000000003</v>
          </cell>
          <cell r="H967">
            <v>0.38230000000000003</v>
          </cell>
          <cell r="I967">
            <v>0.38230000000000003</v>
          </cell>
          <cell r="J967">
            <v>0.38230000000000003</v>
          </cell>
          <cell r="K967">
            <v>0.38230000000000003</v>
          </cell>
          <cell r="L967">
            <v>0.38230000000000003</v>
          </cell>
          <cell r="M967">
            <v>0.38230000000000003</v>
          </cell>
          <cell r="N967">
            <v>0.38230000000000003</v>
          </cell>
          <cell r="P967">
            <v>0.34407000000000004</v>
          </cell>
          <cell r="Q967">
            <v>0.34407000000000004</v>
          </cell>
          <cell r="R967">
            <v>0.34407000000000004</v>
          </cell>
          <cell r="S967">
            <v>0.34407000000000004</v>
          </cell>
          <cell r="U967">
            <v>0.30966300000000002</v>
          </cell>
          <cell r="V967">
            <v>0.27869670000000002</v>
          </cell>
          <cell r="W967">
            <v>0.25082703000000001</v>
          </cell>
        </row>
        <row r="968">
          <cell r="A968" t="str">
            <v>Mos</v>
          </cell>
        </row>
        <row r="969">
          <cell r="A969" t="str">
            <v>Con</v>
          </cell>
          <cell r="C969">
            <v>1.6073500000000003</v>
          </cell>
          <cell r="D969">
            <v>1.6073500000000003</v>
          </cell>
          <cell r="E969">
            <v>1.6073500000000003</v>
          </cell>
          <cell r="F969">
            <v>1.6073500000000003</v>
          </cell>
          <cell r="G969">
            <v>1.6073500000000003</v>
          </cell>
          <cell r="H969">
            <v>1.6073500000000003</v>
          </cell>
          <cell r="I969">
            <v>1.6073500000000003</v>
          </cell>
          <cell r="J969">
            <v>1.6073500000000003</v>
          </cell>
          <cell r="K969">
            <v>1.6073500000000003</v>
          </cell>
          <cell r="L969">
            <v>1.6073500000000003</v>
          </cell>
          <cell r="M969">
            <v>1.6073500000000003</v>
          </cell>
          <cell r="N969">
            <v>1.6073500000000003</v>
          </cell>
          <cell r="P969">
            <v>1.6073500000000003</v>
          </cell>
          <cell r="Q969">
            <v>1.6073500000000003</v>
          </cell>
          <cell r="R969">
            <v>1.6073500000000003</v>
          </cell>
          <cell r="S969">
            <v>1.6073500000000003</v>
          </cell>
          <cell r="U969">
            <v>1.5269825000000001</v>
          </cell>
          <cell r="V969">
            <v>1.450633375</v>
          </cell>
          <cell r="W969">
            <v>1.3781017062499998</v>
          </cell>
        </row>
        <row r="971">
          <cell r="A971" t="str">
            <v xml:space="preserve">BC Number of new lines </v>
          </cell>
        </row>
        <row r="972">
          <cell r="B972">
            <v>35765</v>
          </cell>
          <cell r="C972">
            <v>35796</v>
          </cell>
          <cell r="D972">
            <v>35827</v>
          </cell>
          <cell r="E972">
            <v>35855</v>
          </cell>
          <cell r="F972">
            <v>35886</v>
          </cell>
          <cell r="G972">
            <v>35916</v>
          </cell>
          <cell r="H972">
            <v>35947</v>
          </cell>
          <cell r="I972">
            <v>35977</v>
          </cell>
          <cell r="J972">
            <v>36008</v>
          </cell>
          <cell r="K972">
            <v>36039</v>
          </cell>
          <cell r="L972">
            <v>36069</v>
          </cell>
          <cell r="M972">
            <v>36100</v>
          </cell>
          <cell r="N972">
            <v>36130</v>
          </cell>
          <cell r="O972" t="str">
            <v>Total 98</v>
          </cell>
          <cell r="P972" t="str">
            <v>Q1-99</v>
          </cell>
          <cell r="Q972" t="str">
            <v>Q2-99</v>
          </cell>
          <cell r="R972" t="str">
            <v>Q3-99</v>
          </cell>
          <cell r="S972" t="str">
            <v>Q4-99</v>
          </cell>
          <cell r="T972" t="str">
            <v>Total 99</v>
          </cell>
          <cell r="U972">
            <v>2000</v>
          </cell>
          <cell r="V972">
            <v>2001</v>
          </cell>
          <cell r="W972">
            <v>2002</v>
          </cell>
        </row>
        <row r="973">
          <cell r="A973" t="str">
            <v>Ark</v>
          </cell>
          <cell r="B973">
            <v>1</v>
          </cell>
          <cell r="C973">
            <v>0</v>
          </cell>
          <cell r="D973">
            <v>0</v>
          </cell>
          <cell r="E973">
            <v>0</v>
          </cell>
          <cell r="F973">
            <v>1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1</v>
          </cell>
          <cell r="Q973">
            <v>1</v>
          </cell>
          <cell r="S973">
            <v>0</v>
          </cell>
          <cell r="T973">
            <v>1</v>
          </cell>
          <cell r="U973">
            <v>1</v>
          </cell>
          <cell r="V973">
            <v>1</v>
          </cell>
          <cell r="W973">
            <v>1</v>
          </cell>
        </row>
        <row r="974">
          <cell r="A974" t="str">
            <v>Eka</v>
          </cell>
          <cell r="B974">
            <v>2</v>
          </cell>
          <cell r="C974">
            <v>1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1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2</v>
          </cell>
          <cell r="P974">
            <v>0</v>
          </cell>
          <cell r="Q974">
            <v>0</v>
          </cell>
          <cell r="R974">
            <v>0</v>
          </cell>
          <cell r="S974">
            <v>1</v>
          </cell>
          <cell r="T974">
            <v>1</v>
          </cell>
          <cell r="U974">
            <v>1</v>
          </cell>
          <cell r="V974">
            <v>1</v>
          </cell>
          <cell r="W974">
            <v>1</v>
          </cell>
        </row>
        <row r="975">
          <cell r="A975" t="str">
            <v>Irk</v>
          </cell>
          <cell r="B975">
            <v>2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1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0</v>
          </cell>
          <cell r="S975">
            <v>0</v>
          </cell>
          <cell r="T975">
            <v>1</v>
          </cell>
          <cell r="U975">
            <v>1</v>
          </cell>
          <cell r="V975">
            <v>1</v>
          </cell>
          <cell r="W975">
            <v>1</v>
          </cell>
        </row>
        <row r="976">
          <cell r="A976" t="str">
            <v>Kha</v>
          </cell>
          <cell r="B976">
            <v>2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1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1</v>
          </cell>
          <cell r="M976">
            <v>0</v>
          </cell>
          <cell r="N976">
            <v>0</v>
          </cell>
          <cell r="O976">
            <v>2</v>
          </cell>
          <cell r="P976">
            <v>0</v>
          </cell>
          <cell r="Q976">
            <v>0</v>
          </cell>
          <cell r="R976">
            <v>1</v>
          </cell>
          <cell r="S976">
            <v>0</v>
          </cell>
          <cell r="T976">
            <v>1</v>
          </cell>
          <cell r="U976">
            <v>1</v>
          </cell>
          <cell r="V976">
            <v>1</v>
          </cell>
          <cell r="W976">
            <v>1</v>
          </cell>
        </row>
        <row r="977">
          <cell r="A977" t="str">
            <v>Kra</v>
          </cell>
          <cell r="B977">
            <v>5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1</v>
          </cell>
          <cell r="N977">
            <v>0</v>
          </cell>
          <cell r="O977">
            <v>1</v>
          </cell>
          <cell r="P977">
            <v>0</v>
          </cell>
          <cell r="Q977">
            <v>1</v>
          </cell>
          <cell r="R977">
            <v>0</v>
          </cell>
          <cell r="S977">
            <v>0</v>
          </cell>
          <cell r="T977">
            <v>1</v>
          </cell>
          <cell r="U977">
            <v>1</v>
          </cell>
          <cell r="V977">
            <v>1</v>
          </cell>
          <cell r="W977">
            <v>1</v>
          </cell>
        </row>
        <row r="978">
          <cell r="A978" t="str">
            <v>Niz</v>
          </cell>
          <cell r="B978">
            <v>2</v>
          </cell>
          <cell r="C978">
            <v>0</v>
          </cell>
          <cell r="D978">
            <v>0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2</v>
          </cell>
          <cell r="P978">
            <v>0</v>
          </cell>
          <cell r="Q978">
            <v>0</v>
          </cell>
          <cell r="R978">
            <v>0</v>
          </cell>
          <cell r="S978">
            <v>1</v>
          </cell>
          <cell r="T978">
            <v>1</v>
          </cell>
          <cell r="U978">
            <v>1</v>
          </cell>
          <cell r="V978">
            <v>1</v>
          </cell>
          <cell r="W978">
            <v>1</v>
          </cell>
        </row>
        <row r="979">
          <cell r="A979" t="str">
            <v>Nov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1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1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1</v>
          </cell>
          <cell r="V979">
            <v>1</v>
          </cell>
          <cell r="W979">
            <v>1</v>
          </cell>
        </row>
        <row r="980">
          <cell r="A980" t="str">
            <v>Syk</v>
          </cell>
          <cell r="B980">
            <v>1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O980">
            <v>1</v>
          </cell>
          <cell r="P980">
            <v>0</v>
          </cell>
          <cell r="Q980">
            <v>0</v>
          </cell>
          <cell r="R980">
            <v>0</v>
          </cell>
          <cell r="S980">
            <v>1</v>
          </cell>
          <cell r="T980">
            <v>1</v>
          </cell>
          <cell r="U980">
            <v>1</v>
          </cell>
          <cell r="V980">
            <v>1</v>
          </cell>
          <cell r="W980">
            <v>1</v>
          </cell>
        </row>
        <row r="981">
          <cell r="A981" t="str">
            <v>Tyu</v>
          </cell>
          <cell r="B981">
            <v>1</v>
          </cell>
          <cell r="C981">
            <v>1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1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2</v>
          </cell>
          <cell r="P981">
            <v>0</v>
          </cell>
          <cell r="Q981">
            <v>0</v>
          </cell>
          <cell r="R981">
            <v>0</v>
          </cell>
          <cell r="S981">
            <v>1</v>
          </cell>
          <cell r="T981">
            <v>1</v>
          </cell>
          <cell r="U981">
            <v>1</v>
          </cell>
          <cell r="V981">
            <v>1</v>
          </cell>
          <cell r="W981">
            <v>1</v>
          </cell>
        </row>
        <row r="982">
          <cell r="A982" t="str">
            <v>Ufa</v>
          </cell>
          <cell r="B982">
            <v>1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0</v>
          </cell>
          <cell r="Q982">
            <v>1</v>
          </cell>
          <cell r="R982">
            <v>0</v>
          </cell>
          <cell r="S982">
            <v>0</v>
          </cell>
          <cell r="T982">
            <v>1</v>
          </cell>
          <cell r="U982">
            <v>1</v>
          </cell>
          <cell r="V982">
            <v>1</v>
          </cell>
          <cell r="W982">
            <v>1</v>
          </cell>
        </row>
        <row r="983">
          <cell r="A983" t="str">
            <v>Vla</v>
          </cell>
          <cell r="B983">
            <v>5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1</v>
          </cell>
          <cell r="K983">
            <v>0</v>
          </cell>
          <cell r="L983">
            <v>0</v>
          </cell>
          <cell r="M983">
            <v>0</v>
          </cell>
          <cell r="N983">
            <v>1</v>
          </cell>
          <cell r="O983">
            <v>2</v>
          </cell>
          <cell r="P983">
            <v>0</v>
          </cell>
          <cell r="Q983">
            <v>0</v>
          </cell>
          <cell r="R983">
            <v>1</v>
          </cell>
          <cell r="S983">
            <v>0</v>
          </cell>
          <cell r="T983">
            <v>1</v>
          </cell>
          <cell r="U983">
            <v>1</v>
          </cell>
          <cell r="V983">
            <v>1</v>
          </cell>
          <cell r="W983">
            <v>1</v>
          </cell>
        </row>
        <row r="984">
          <cell r="A984" t="str">
            <v>Vol</v>
          </cell>
          <cell r="B984">
            <v>1</v>
          </cell>
          <cell r="C984">
            <v>0</v>
          </cell>
          <cell r="D984">
            <v>0</v>
          </cell>
          <cell r="E984">
            <v>0</v>
          </cell>
          <cell r="F984">
            <v>1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O984">
            <v>2</v>
          </cell>
          <cell r="P984">
            <v>0</v>
          </cell>
          <cell r="Q984">
            <v>0</v>
          </cell>
          <cell r="R984">
            <v>0</v>
          </cell>
          <cell r="S984">
            <v>1</v>
          </cell>
          <cell r="T984">
            <v>1</v>
          </cell>
          <cell r="U984">
            <v>1</v>
          </cell>
          <cell r="V984">
            <v>1</v>
          </cell>
          <cell r="W984">
            <v>1</v>
          </cell>
        </row>
        <row r="985">
          <cell r="A985" t="str">
            <v>Vor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1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1</v>
          </cell>
          <cell r="P985">
            <v>0</v>
          </cell>
          <cell r="Q985">
            <v>0</v>
          </cell>
          <cell r="R985">
            <v>1</v>
          </cell>
          <cell r="S985">
            <v>0</v>
          </cell>
          <cell r="T985">
            <v>1</v>
          </cell>
          <cell r="U985">
            <v>1</v>
          </cell>
          <cell r="V985">
            <v>1</v>
          </cell>
          <cell r="W985">
            <v>1</v>
          </cell>
        </row>
        <row r="986">
          <cell r="A986" t="str">
            <v>97#1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1</v>
          </cell>
          <cell r="G986">
            <v>0</v>
          </cell>
          <cell r="H986">
            <v>0</v>
          </cell>
          <cell r="I986">
            <v>0</v>
          </cell>
          <cell r="J986">
            <v>1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2</v>
          </cell>
          <cell r="P986">
            <v>0</v>
          </cell>
          <cell r="Q986">
            <v>0</v>
          </cell>
          <cell r="R986">
            <v>0</v>
          </cell>
          <cell r="S986">
            <v>1</v>
          </cell>
          <cell r="T986">
            <v>1</v>
          </cell>
          <cell r="U986">
            <v>1</v>
          </cell>
          <cell r="V986">
            <v>1</v>
          </cell>
          <cell r="W986">
            <v>1</v>
          </cell>
        </row>
        <row r="987">
          <cell r="A987" t="str">
            <v>97#2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S987">
            <v>1</v>
          </cell>
          <cell r="T987">
            <v>1</v>
          </cell>
          <cell r="U987">
            <v>1</v>
          </cell>
          <cell r="V987">
            <v>1</v>
          </cell>
          <cell r="W987">
            <v>1</v>
          </cell>
        </row>
        <row r="988">
          <cell r="A988" t="str">
            <v>98#1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R988">
            <v>1</v>
          </cell>
          <cell r="T988">
            <v>1</v>
          </cell>
          <cell r="U988">
            <v>1</v>
          </cell>
          <cell r="V988">
            <v>1</v>
          </cell>
          <cell r="W988">
            <v>0</v>
          </cell>
        </row>
        <row r="989">
          <cell r="A989" t="str">
            <v>98#2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Q989">
            <v>1</v>
          </cell>
          <cell r="T989">
            <v>1</v>
          </cell>
          <cell r="U989">
            <v>0</v>
          </cell>
          <cell r="W989">
            <v>1</v>
          </cell>
        </row>
        <row r="990">
          <cell r="A990" t="str">
            <v>Mos</v>
          </cell>
          <cell r="O990">
            <v>0</v>
          </cell>
          <cell r="T990">
            <v>0</v>
          </cell>
        </row>
        <row r="991">
          <cell r="A991" t="str">
            <v>Con</v>
          </cell>
          <cell r="B991">
            <v>23</v>
          </cell>
          <cell r="C991">
            <v>2</v>
          </cell>
          <cell r="D991">
            <v>0</v>
          </cell>
          <cell r="E991">
            <v>1</v>
          </cell>
          <cell r="F991">
            <v>3</v>
          </cell>
          <cell r="G991">
            <v>1</v>
          </cell>
          <cell r="H991">
            <v>2</v>
          </cell>
          <cell r="I991">
            <v>2</v>
          </cell>
          <cell r="J991">
            <v>3</v>
          </cell>
          <cell r="K991">
            <v>2</v>
          </cell>
          <cell r="L991">
            <v>3</v>
          </cell>
          <cell r="M991">
            <v>1</v>
          </cell>
          <cell r="N991">
            <v>1</v>
          </cell>
          <cell r="O991">
            <v>21</v>
          </cell>
          <cell r="P991">
            <v>1</v>
          </cell>
          <cell r="Q991">
            <v>4</v>
          </cell>
          <cell r="R991">
            <v>4</v>
          </cell>
          <cell r="S991">
            <v>7</v>
          </cell>
          <cell r="T991">
            <v>16</v>
          </cell>
          <cell r="U991">
            <v>16</v>
          </cell>
          <cell r="V991">
            <v>16</v>
          </cell>
          <cell r="W991">
            <v>16</v>
          </cell>
        </row>
        <row r="993">
          <cell r="A993" t="str">
            <v>BC Number of intercity minutes per line</v>
          </cell>
        </row>
        <row r="994">
          <cell r="B994">
            <v>35765</v>
          </cell>
          <cell r="C994">
            <v>35796</v>
          </cell>
          <cell r="D994">
            <v>35827</v>
          </cell>
          <cell r="E994">
            <v>35855</v>
          </cell>
          <cell r="F994">
            <v>35886</v>
          </cell>
          <cell r="G994">
            <v>35916</v>
          </cell>
          <cell r="H994">
            <v>35947</v>
          </cell>
          <cell r="I994">
            <v>35977</v>
          </cell>
          <cell r="J994">
            <v>36008</v>
          </cell>
          <cell r="K994">
            <v>36039</v>
          </cell>
          <cell r="L994">
            <v>36069</v>
          </cell>
          <cell r="M994">
            <v>36100</v>
          </cell>
          <cell r="N994">
            <v>36130</v>
          </cell>
          <cell r="O994" t="str">
            <v>Total 98</v>
          </cell>
          <cell r="P994" t="str">
            <v>Q1-99</v>
          </cell>
          <cell r="Q994" t="str">
            <v>Q2-99</v>
          </cell>
          <cell r="R994" t="str">
            <v>Q3-99</v>
          </cell>
          <cell r="S994" t="str">
            <v>Q4-99</v>
          </cell>
          <cell r="T994" t="str">
            <v>Total 99</v>
          </cell>
          <cell r="U994">
            <v>2000</v>
          </cell>
          <cell r="V994">
            <v>2001</v>
          </cell>
          <cell r="W994">
            <v>2002</v>
          </cell>
        </row>
        <row r="995">
          <cell r="A995" t="str">
            <v>Ark</v>
          </cell>
          <cell r="B995">
            <v>4200</v>
          </cell>
          <cell r="C995">
            <v>2100</v>
          </cell>
          <cell r="D995">
            <v>4200</v>
          </cell>
          <cell r="E995">
            <v>4200</v>
          </cell>
          <cell r="F995">
            <v>4200</v>
          </cell>
          <cell r="G995">
            <v>3150</v>
          </cell>
          <cell r="H995">
            <v>4200</v>
          </cell>
          <cell r="I995">
            <v>4200</v>
          </cell>
          <cell r="J995">
            <v>4200</v>
          </cell>
          <cell r="K995">
            <v>4200</v>
          </cell>
          <cell r="L995">
            <v>4200</v>
          </cell>
          <cell r="M995">
            <v>4200</v>
          </cell>
          <cell r="N995">
            <v>4200</v>
          </cell>
          <cell r="P995">
            <v>4620</v>
          </cell>
          <cell r="Q995">
            <v>5082</v>
          </cell>
          <cell r="R995">
            <v>5590.2000000000007</v>
          </cell>
          <cell r="S995">
            <v>6149.2200000000012</v>
          </cell>
          <cell r="U995">
            <v>7071.603000000001</v>
          </cell>
          <cell r="V995">
            <v>8132.3434500000003</v>
          </cell>
          <cell r="W995">
            <v>9352.1949674999996</v>
          </cell>
        </row>
        <row r="996">
          <cell r="A996" t="str">
            <v>Eka</v>
          </cell>
          <cell r="B996">
            <v>5200</v>
          </cell>
          <cell r="C996">
            <v>2600</v>
          </cell>
          <cell r="D996">
            <v>5304</v>
          </cell>
          <cell r="E996">
            <v>5410.08</v>
          </cell>
          <cell r="F996">
            <v>5518.2816000000003</v>
          </cell>
          <cell r="G996">
            <v>4138.7111999999997</v>
          </cell>
          <cell r="H996">
            <v>5628.6472319999993</v>
          </cell>
          <cell r="I996">
            <v>5741.2201766399994</v>
          </cell>
          <cell r="J996">
            <v>5856.0445801727992</v>
          </cell>
          <cell r="K996">
            <v>5973.1654717762549</v>
          </cell>
          <cell r="L996">
            <v>6092.6287812117798</v>
          </cell>
          <cell r="M996">
            <v>6214.4813568360159</v>
          </cell>
          <cell r="N996">
            <v>6338.7709839727368</v>
          </cell>
          <cell r="P996">
            <v>6972.6480823700113</v>
          </cell>
          <cell r="Q996">
            <v>7669.9128906070127</v>
          </cell>
          <cell r="R996">
            <v>8436.9041796677138</v>
          </cell>
          <cell r="S996">
            <v>9280.5945976344865</v>
          </cell>
          <cell r="U996">
            <v>10672.683787279659</v>
          </cell>
          <cell r="V996">
            <v>12273.586355371606</v>
          </cell>
          <cell r="W996">
            <v>14114.624308677347</v>
          </cell>
        </row>
        <row r="997">
          <cell r="A997" t="str">
            <v>Irk</v>
          </cell>
          <cell r="B997">
            <v>3100</v>
          </cell>
          <cell r="C997">
            <v>1550</v>
          </cell>
          <cell r="D997">
            <v>3162</v>
          </cell>
          <cell r="E997">
            <v>3225.2400000000002</v>
          </cell>
          <cell r="F997">
            <v>3289.7448000000004</v>
          </cell>
          <cell r="G997">
            <v>2467.3086000000003</v>
          </cell>
          <cell r="H997">
            <v>3355.5396960000003</v>
          </cell>
          <cell r="I997">
            <v>3422.6504899200004</v>
          </cell>
          <cell r="J997">
            <v>3491.1034997184006</v>
          </cell>
          <cell r="K997">
            <v>3560.9255697127687</v>
          </cell>
          <cell r="L997">
            <v>3632.1440811070242</v>
          </cell>
          <cell r="M997">
            <v>3704.7869627291648</v>
          </cell>
          <cell r="N997">
            <v>3778.8827019837481</v>
          </cell>
          <cell r="P997">
            <v>4156.7709721821229</v>
          </cell>
          <cell r="Q997">
            <v>4572.448069400336</v>
          </cell>
          <cell r="R997">
            <v>5029.6928763403703</v>
          </cell>
          <cell r="S997">
            <v>5532.662163974408</v>
          </cell>
          <cell r="U997">
            <v>6362.5614885705691</v>
          </cell>
          <cell r="V997">
            <v>7316.945711856154</v>
          </cell>
          <cell r="W997">
            <v>8414.4875686345767</v>
          </cell>
        </row>
        <row r="998">
          <cell r="A998" t="str">
            <v>Kha</v>
          </cell>
          <cell r="B998">
            <v>12500</v>
          </cell>
          <cell r="C998">
            <v>6250</v>
          </cell>
          <cell r="D998">
            <v>12750</v>
          </cell>
          <cell r="E998">
            <v>13005</v>
          </cell>
          <cell r="F998">
            <v>13265.1</v>
          </cell>
          <cell r="G998">
            <v>9948.8250000000007</v>
          </cell>
          <cell r="H998">
            <v>8200</v>
          </cell>
          <cell r="I998">
            <v>8364</v>
          </cell>
          <cell r="J998">
            <v>8531.2800000000007</v>
          </cell>
          <cell r="K998">
            <v>8701.9056</v>
          </cell>
          <cell r="L998">
            <v>8875.9437120000002</v>
          </cell>
          <cell r="M998">
            <v>9053.4625862400007</v>
          </cell>
          <cell r="N998">
            <v>9234.5318379648015</v>
          </cell>
          <cell r="P998">
            <v>10157.985021761282</v>
          </cell>
          <cell r="Q998">
            <v>11173.783523937411</v>
          </cell>
          <cell r="R998">
            <v>12291.161876331153</v>
          </cell>
          <cell r="S998">
            <v>13520.27806396427</v>
          </cell>
          <cell r="U998">
            <v>15548.319773558909</v>
          </cell>
          <cell r="V998">
            <v>17880.567739592745</v>
          </cell>
          <cell r="W998">
            <v>20562.652900531655</v>
          </cell>
        </row>
        <row r="999">
          <cell r="A999" t="str">
            <v>Kra</v>
          </cell>
          <cell r="B999">
            <v>5100</v>
          </cell>
          <cell r="C999">
            <v>2550</v>
          </cell>
          <cell r="D999">
            <v>5202</v>
          </cell>
          <cell r="E999">
            <v>5306.04</v>
          </cell>
          <cell r="F999">
            <v>5412.1607999999997</v>
          </cell>
          <cell r="G999">
            <v>4059.1205999999997</v>
          </cell>
          <cell r="H999">
            <v>5520.4040159999995</v>
          </cell>
          <cell r="I999">
            <v>5630.8120963199999</v>
          </cell>
          <cell r="J999">
            <v>5743.4283382464</v>
          </cell>
          <cell r="K999">
            <v>5858.2969050113279</v>
          </cell>
          <cell r="L999">
            <v>5975.4628431115543</v>
          </cell>
          <cell r="M999">
            <v>6094.9720999737856</v>
          </cell>
          <cell r="N999">
            <v>6216.8715419732616</v>
          </cell>
          <cell r="P999">
            <v>6838.5586961705885</v>
          </cell>
          <cell r="Q999">
            <v>7522.4145657876479</v>
          </cell>
          <cell r="R999">
            <v>8274.6560223664128</v>
          </cell>
          <cell r="S999">
            <v>9102.1216246030544</v>
          </cell>
          <cell r="U999">
            <v>10467.439868293512</v>
          </cell>
          <cell r="V999">
            <v>12037.555848537537</v>
          </cell>
          <cell r="W999">
            <v>13843.189225818167</v>
          </cell>
        </row>
        <row r="1000">
          <cell r="A1000" t="str">
            <v>Niz</v>
          </cell>
          <cell r="B1000">
            <v>4200</v>
          </cell>
          <cell r="C1000">
            <v>2100</v>
          </cell>
          <cell r="D1000">
            <v>4200</v>
          </cell>
          <cell r="E1000">
            <v>4200</v>
          </cell>
          <cell r="F1000">
            <v>4200</v>
          </cell>
          <cell r="G1000">
            <v>3150</v>
          </cell>
          <cell r="H1000">
            <v>4200</v>
          </cell>
          <cell r="I1000">
            <v>4200</v>
          </cell>
          <cell r="J1000">
            <v>4200</v>
          </cell>
          <cell r="K1000">
            <v>4200</v>
          </cell>
          <cell r="L1000">
            <v>4200</v>
          </cell>
          <cell r="M1000">
            <v>4200</v>
          </cell>
          <cell r="N1000">
            <v>4200</v>
          </cell>
          <cell r="P1000">
            <v>4620</v>
          </cell>
          <cell r="Q1000">
            <v>5082</v>
          </cell>
          <cell r="R1000">
            <v>5590.2000000000007</v>
          </cell>
          <cell r="S1000">
            <v>6149.2200000000012</v>
          </cell>
          <cell r="U1000">
            <v>7071.603000000001</v>
          </cell>
          <cell r="V1000">
            <v>8132.3434500000003</v>
          </cell>
          <cell r="W1000">
            <v>9352.1949674999996</v>
          </cell>
        </row>
        <row r="1001">
          <cell r="A1001" t="str">
            <v>Nov</v>
          </cell>
          <cell r="B1001">
            <v>4200</v>
          </cell>
          <cell r="C1001">
            <v>2100</v>
          </cell>
          <cell r="D1001">
            <v>4200</v>
          </cell>
          <cell r="E1001">
            <v>4200</v>
          </cell>
          <cell r="F1001">
            <v>4200</v>
          </cell>
          <cell r="G1001">
            <v>3150</v>
          </cell>
          <cell r="H1001">
            <v>4200</v>
          </cell>
          <cell r="I1001">
            <v>4200</v>
          </cell>
          <cell r="J1001">
            <v>4200</v>
          </cell>
          <cell r="K1001">
            <v>4200</v>
          </cell>
          <cell r="L1001">
            <v>4200</v>
          </cell>
          <cell r="M1001">
            <v>4200</v>
          </cell>
          <cell r="N1001">
            <v>4200</v>
          </cell>
          <cell r="P1001">
            <v>4620</v>
          </cell>
          <cell r="Q1001">
            <v>5082</v>
          </cell>
          <cell r="R1001">
            <v>5590.2000000000007</v>
          </cell>
          <cell r="S1001">
            <v>6149.2200000000012</v>
          </cell>
          <cell r="U1001">
            <v>7071.603000000001</v>
          </cell>
          <cell r="V1001">
            <v>8132.3434500000003</v>
          </cell>
          <cell r="W1001">
            <v>9352.1949674999996</v>
          </cell>
        </row>
        <row r="1002">
          <cell r="A1002" t="str">
            <v>Syk</v>
          </cell>
          <cell r="B1002">
            <v>2300</v>
          </cell>
          <cell r="C1002">
            <v>1150</v>
          </cell>
          <cell r="D1002">
            <v>2346</v>
          </cell>
          <cell r="E1002">
            <v>2392.92</v>
          </cell>
          <cell r="F1002">
            <v>2440.7784000000001</v>
          </cell>
          <cell r="G1002">
            <v>1830.5838000000001</v>
          </cell>
          <cell r="H1002">
            <v>2489.5939680000001</v>
          </cell>
          <cell r="I1002">
            <v>2539.3858473600003</v>
          </cell>
          <cell r="J1002">
            <v>2590.1735643072002</v>
          </cell>
          <cell r="K1002">
            <v>2641.9770355933442</v>
          </cell>
          <cell r="L1002">
            <v>2694.8165763052111</v>
          </cell>
          <cell r="M1002">
            <v>2748.7129078313155</v>
          </cell>
          <cell r="N1002">
            <v>2803.6871659879421</v>
          </cell>
          <cell r="P1002">
            <v>3084.0558825867365</v>
          </cell>
          <cell r="Q1002">
            <v>3392.4614708454105</v>
          </cell>
          <cell r="R1002">
            <v>3731.707617929952</v>
          </cell>
          <cell r="S1002">
            <v>4104.8783797229471</v>
          </cell>
          <cell r="U1002">
            <v>4720.6101366813891</v>
          </cell>
          <cell r="V1002">
            <v>5428.7016571835975</v>
          </cell>
          <cell r="W1002">
            <v>6243.0069057611363</v>
          </cell>
        </row>
        <row r="1003">
          <cell r="A1003" t="str">
            <v>Tyu</v>
          </cell>
          <cell r="B1003">
            <v>5700</v>
          </cell>
          <cell r="C1003">
            <v>2850</v>
          </cell>
          <cell r="D1003">
            <v>5700</v>
          </cell>
          <cell r="E1003">
            <v>5700</v>
          </cell>
          <cell r="F1003">
            <v>5700</v>
          </cell>
          <cell r="G1003">
            <v>4275</v>
          </cell>
          <cell r="H1003">
            <v>5814</v>
          </cell>
          <cell r="I1003">
            <v>5700</v>
          </cell>
          <cell r="J1003">
            <v>5700</v>
          </cell>
          <cell r="K1003">
            <v>5700</v>
          </cell>
          <cell r="L1003">
            <v>5700</v>
          </cell>
          <cell r="M1003">
            <v>5700</v>
          </cell>
          <cell r="N1003">
            <v>5700</v>
          </cell>
          <cell r="P1003">
            <v>6270.0000000000009</v>
          </cell>
          <cell r="Q1003">
            <v>6897.0000000000018</v>
          </cell>
          <cell r="R1003">
            <v>7586.7000000000025</v>
          </cell>
          <cell r="S1003">
            <v>8345.3700000000026</v>
          </cell>
          <cell r="U1003">
            <v>9597.175500000003</v>
          </cell>
          <cell r="V1003">
            <v>11036.751825000003</v>
          </cell>
          <cell r="W1003">
            <v>12692.264598750002</v>
          </cell>
        </row>
        <row r="1004">
          <cell r="A1004" t="str">
            <v>Ufa</v>
          </cell>
          <cell r="B1004">
            <v>8300</v>
          </cell>
          <cell r="C1004">
            <v>4150</v>
          </cell>
          <cell r="D1004">
            <v>8300</v>
          </cell>
          <cell r="E1004">
            <v>8300</v>
          </cell>
          <cell r="F1004">
            <v>8300</v>
          </cell>
          <cell r="G1004">
            <v>6225</v>
          </cell>
          <cell r="H1004">
            <v>8300</v>
          </cell>
          <cell r="I1004">
            <v>8300</v>
          </cell>
          <cell r="J1004">
            <v>8300</v>
          </cell>
          <cell r="K1004">
            <v>8300</v>
          </cell>
          <cell r="L1004">
            <v>8300</v>
          </cell>
          <cell r="M1004">
            <v>8300</v>
          </cell>
          <cell r="N1004">
            <v>8300</v>
          </cell>
          <cell r="P1004">
            <v>9130</v>
          </cell>
          <cell r="Q1004">
            <v>10043</v>
          </cell>
          <cell r="R1004">
            <v>11047.300000000001</v>
          </cell>
          <cell r="S1004">
            <v>12152.030000000002</v>
          </cell>
          <cell r="U1004">
            <v>13974.834500000003</v>
          </cell>
          <cell r="V1004">
            <v>16071.059675000002</v>
          </cell>
          <cell r="W1004">
            <v>18481.71862625</v>
          </cell>
        </row>
        <row r="1005">
          <cell r="A1005" t="str">
            <v>Vla</v>
          </cell>
          <cell r="B1005">
            <v>4300</v>
          </cell>
          <cell r="C1005">
            <v>2150</v>
          </cell>
          <cell r="D1005">
            <v>4386</v>
          </cell>
          <cell r="E1005">
            <v>4473.72</v>
          </cell>
          <cell r="F1005">
            <v>4563.1944000000003</v>
          </cell>
          <cell r="G1005">
            <v>3422.3958000000002</v>
          </cell>
          <cell r="H1005">
            <v>4654.4582880000007</v>
          </cell>
          <cell r="I1005">
            <v>4747.5474537600012</v>
          </cell>
          <cell r="J1005">
            <v>4842.498402835201</v>
          </cell>
          <cell r="K1005">
            <v>4939.3483708919048</v>
          </cell>
          <cell r="L1005">
            <v>5038.135338309743</v>
          </cell>
          <cell r="M1005">
            <v>5138.8980450759382</v>
          </cell>
          <cell r="N1005">
            <v>5241.676005977457</v>
          </cell>
          <cell r="P1005">
            <v>5765.843606575203</v>
          </cell>
          <cell r="Q1005">
            <v>6342.4279672327239</v>
          </cell>
          <cell r="R1005">
            <v>6976.6707639559972</v>
          </cell>
          <cell r="S1005">
            <v>7674.3378403515972</v>
          </cell>
          <cell r="U1005">
            <v>8825.4885164043353</v>
          </cell>
          <cell r="V1005">
            <v>10149.311793864985</v>
          </cell>
          <cell r="W1005">
            <v>11671.708562944732</v>
          </cell>
        </row>
        <row r="1006">
          <cell r="A1006" t="str">
            <v>Vol</v>
          </cell>
          <cell r="B1006">
            <v>4200</v>
          </cell>
          <cell r="C1006">
            <v>2100</v>
          </cell>
          <cell r="D1006">
            <v>4200</v>
          </cell>
          <cell r="E1006">
            <v>4200</v>
          </cell>
          <cell r="F1006">
            <v>4200</v>
          </cell>
          <cell r="G1006">
            <v>3150</v>
          </cell>
          <cell r="H1006">
            <v>4200</v>
          </cell>
          <cell r="I1006">
            <v>4200</v>
          </cell>
          <cell r="J1006">
            <v>4200</v>
          </cell>
          <cell r="K1006">
            <v>4200</v>
          </cell>
          <cell r="L1006">
            <v>4200</v>
          </cell>
          <cell r="M1006">
            <v>4200</v>
          </cell>
          <cell r="N1006">
            <v>4200</v>
          </cell>
          <cell r="P1006">
            <v>4620</v>
          </cell>
          <cell r="Q1006">
            <v>5082</v>
          </cell>
          <cell r="R1006">
            <v>5590.2000000000007</v>
          </cell>
          <cell r="S1006">
            <v>6149.2200000000012</v>
          </cell>
          <cell r="U1006">
            <v>7071.603000000001</v>
          </cell>
          <cell r="V1006">
            <v>8132.3434500000003</v>
          </cell>
          <cell r="W1006">
            <v>9352.1949674999996</v>
          </cell>
        </row>
        <row r="1007">
          <cell r="A1007" t="str">
            <v>Vor</v>
          </cell>
          <cell r="B1007">
            <v>4200</v>
          </cell>
          <cell r="C1007">
            <v>2100</v>
          </cell>
          <cell r="D1007">
            <v>4200</v>
          </cell>
          <cell r="E1007">
            <v>4200</v>
          </cell>
          <cell r="F1007">
            <v>4200</v>
          </cell>
          <cell r="G1007">
            <v>3150</v>
          </cell>
          <cell r="H1007">
            <v>4200</v>
          </cell>
          <cell r="I1007">
            <v>4200</v>
          </cell>
          <cell r="J1007">
            <v>4200</v>
          </cell>
          <cell r="K1007">
            <v>4200</v>
          </cell>
          <cell r="L1007">
            <v>4200</v>
          </cell>
          <cell r="M1007">
            <v>4200</v>
          </cell>
          <cell r="N1007">
            <v>4200</v>
          </cell>
          <cell r="P1007">
            <v>4620</v>
          </cell>
          <cell r="Q1007">
            <v>5082</v>
          </cell>
          <cell r="R1007">
            <v>5590.2000000000007</v>
          </cell>
          <cell r="S1007">
            <v>6149.2200000000012</v>
          </cell>
          <cell r="U1007">
            <v>7071.603000000001</v>
          </cell>
          <cell r="V1007">
            <v>8132.3434500000003</v>
          </cell>
          <cell r="W1007">
            <v>9352.1949674999996</v>
          </cell>
        </row>
        <row r="1008">
          <cell r="A1008" t="str">
            <v>97#1</v>
          </cell>
          <cell r="B1008">
            <v>34000</v>
          </cell>
          <cell r="C1008">
            <v>17000</v>
          </cell>
          <cell r="D1008">
            <v>34000</v>
          </cell>
          <cell r="E1008">
            <v>34000</v>
          </cell>
          <cell r="F1008">
            <v>20000</v>
          </cell>
          <cell r="G1008">
            <v>15000</v>
          </cell>
          <cell r="H1008">
            <v>30000</v>
          </cell>
          <cell r="I1008">
            <v>34000</v>
          </cell>
          <cell r="J1008">
            <v>20000</v>
          </cell>
          <cell r="K1008">
            <v>24000</v>
          </cell>
          <cell r="L1008">
            <v>24000</v>
          </cell>
          <cell r="M1008">
            <v>25000</v>
          </cell>
          <cell r="N1008">
            <v>24000</v>
          </cell>
          <cell r="P1008">
            <v>26400.000000000004</v>
          </cell>
          <cell r="Q1008">
            <v>29040.000000000007</v>
          </cell>
          <cell r="R1008">
            <v>31944.000000000011</v>
          </cell>
          <cell r="S1008">
            <v>35138.400000000016</v>
          </cell>
          <cell r="U1008">
            <v>40409.160000000018</v>
          </cell>
          <cell r="V1008">
            <v>46470.534000000014</v>
          </cell>
          <cell r="W1008">
            <v>53441.114100000013</v>
          </cell>
        </row>
        <row r="1009">
          <cell r="A1009" t="str">
            <v>97#2</v>
          </cell>
          <cell r="B1009">
            <v>4200</v>
          </cell>
          <cell r="C1009">
            <v>2100</v>
          </cell>
          <cell r="D1009">
            <v>4200</v>
          </cell>
          <cell r="E1009">
            <v>4200</v>
          </cell>
          <cell r="F1009">
            <v>4200</v>
          </cell>
          <cell r="G1009">
            <v>3150</v>
          </cell>
          <cell r="H1009">
            <v>4200</v>
          </cell>
          <cell r="I1009">
            <v>4200</v>
          </cell>
          <cell r="J1009">
            <v>4200</v>
          </cell>
          <cell r="K1009">
            <v>4200</v>
          </cell>
          <cell r="L1009">
            <v>4200</v>
          </cell>
          <cell r="M1009">
            <v>4200</v>
          </cell>
          <cell r="N1009">
            <v>4200</v>
          </cell>
          <cell r="P1009">
            <v>4620</v>
          </cell>
          <cell r="Q1009">
            <v>5082</v>
          </cell>
          <cell r="R1009">
            <v>5590.2000000000007</v>
          </cell>
          <cell r="S1009">
            <v>6149.2200000000012</v>
          </cell>
          <cell r="U1009">
            <v>7071.603000000001</v>
          </cell>
          <cell r="V1009">
            <v>8132.3434500000003</v>
          </cell>
          <cell r="W1009">
            <v>9352.1949674999996</v>
          </cell>
        </row>
        <row r="1010">
          <cell r="A1010" t="str">
            <v>98#1</v>
          </cell>
          <cell r="B1010">
            <v>4200</v>
          </cell>
          <cell r="C1010">
            <v>2100</v>
          </cell>
          <cell r="D1010">
            <v>4200</v>
          </cell>
          <cell r="E1010">
            <v>4200</v>
          </cell>
          <cell r="F1010">
            <v>4200</v>
          </cell>
          <cell r="G1010">
            <v>3150</v>
          </cell>
          <cell r="H1010">
            <v>4200</v>
          </cell>
          <cell r="I1010">
            <v>4200</v>
          </cell>
          <cell r="J1010">
            <v>4200</v>
          </cell>
          <cell r="K1010">
            <v>4200</v>
          </cell>
          <cell r="L1010">
            <v>4200</v>
          </cell>
          <cell r="M1010">
            <v>4200</v>
          </cell>
          <cell r="N1010">
            <v>4200</v>
          </cell>
          <cell r="P1010">
            <v>4620</v>
          </cell>
          <cell r="Q1010">
            <v>5082</v>
          </cell>
          <cell r="R1010">
            <v>5590.2000000000007</v>
          </cell>
          <cell r="S1010">
            <v>6149.2200000000012</v>
          </cell>
          <cell r="U1010">
            <v>7071.603000000001</v>
          </cell>
          <cell r="V1010">
            <v>8132.3434500000003</v>
          </cell>
          <cell r="W1010">
            <v>9352.1949674999996</v>
          </cell>
        </row>
        <row r="1011">
          <cell r="A1011" t="str">
            <v>98#2</v>
          </cell>
          <cell r="B1011">
            <v>4200</v>
          </cell>
          <cell r="C1011">
            <v>2100</v>
          </cell>
          <cell r="D1011">
            <v>4200</v>
          </cell>
          <cell r="E1011">
            <v>4200</v>
          </cell>
          <cell r="F1011">
            <v>4200</v>
          </cell>
          <cell r="G1011">
            <v>3150</v>
          </cell>
          <cell r="H1011">
            <v>4200</v>
          </cell>
          <cell r="I1011">
            <v>4200</v>
          </cell>
          <cell r="J1011">
            <v>4200</v>
          </cell>
          <cell r="K1011">
            <v>4200</v>
          </cell>
          <cell r="L1011">
            <v>4200</v>
          </cell>
          <cell r="M1011">
            <v>4200</v>
          </cell>
          <cell r="N1011">
            <v>4200</v>
          </cell>
          <cell r="P1011">
            <v>4620</v>
          </cell>
          <cell r="Q1011">
            <v>5082</v>
          </cell>
          <cell r="R1011">
            <v>5590.2000000000007</v>
          </cell>
          <cell r="S1011">
            <v>6149.2200000000012</v>
          </cell>
          <cell r="U1011">
            <v>7071.603000000001</v>
          </cell>
          <cell r="V1011">
            <v>8132.3434500000003</v>
          </cell>
          <cell r="W1011">
            <v>9352.1949674999996</v>
          </cell>
        </row>
        <row r="1012">
          <cell r="A1012" t="str">
            <v>Mos</v>
          </cell>
        </row>
        <row r="1013">
          <cell r="A1013" t="str">
            <v>Con</v>
          </cell>
        </row>
        <row r="1015">
          <cell r="A1015" t="str">
            <v xml:space="preserve">BC Average intercity tariff </v>
          </cell>
        </row>
        <row r="1016">
          <cell r="B1016">
            <v>35765</v>
          </cell>
          <cell r="C1016">
            <v>35796</v>
          </cell>
          <cell r="D1016">
            <v>35827</v>
          </cell>
          <cell r="E1016">
            <v>35855</v>
          </cell>
          <cell r="F1016">
            <v>35886</v>
          </cell>
          <cell r="G1016">
            <v>35916</v>
          </cell>
          <cell r="H1016">
            <v>35947</v>
          </cell>
          <cell r="I1016">
            <v>35977</v>
          </cell>
          <cell r="J1016">
            <v>36008</v>
          </cell>
          <cell r="K1016">
            <v>36039</v>
          </cell>
          <cell r="L1016">
            <v>36069</v>
          </cell>
          <cell r="M1016">
            <v>36100</v>
          </cell>
          <cell r="N1016">
            <v>36130</v>
          </cell>
          <cell r="O1016" t="str">
            <v>Total 98</v>
          </cell>
          <cell r="P1016" t="str">
            <v>Q1-99</v>
          </cell>
          <cell r="Q1016" t="str">
            <v>Q2-99</v>
          </cell>
          <cell r="R1016" t="str">
            <v>Q3-99</v>
          </cell>
          <cell r="S1016" t="str">
            <v>Q4-99</v>
          </cell>
          <cell r="T1016" t="str">
            <v>Total 99</v>
          </cell>
          <cell r="U1016">
            <v>2000</v>
          </cell>
          <cell r="V1016">
            <v>2001</v>
          </cell>
          <cell r="W1016">
            <v>2002</v>
          </cell>
        </row>
        <row r="1017">
          <cell r="A1017" t="str">
            <v>Ark</v>
          </cell>
          <cell r="C1017">
            <v>0.38</v>
          </cell>
          <cell r="D1017">
            <v>0.38</v>
          </cell>
          <cell r="E1017">
            <v>0.38</v>
          </cell>
          <cell r="F1017">
            <v>0.38</v>
          </cell>
          <cell r="G1017">
            <v>0.38</v>
          </cell>
          <cell r="H1017">
            <v>0.38</v>
          </cell>
          <cell r="I1017">
            <v>0.38</v>
          </cell>
          <cell r="J1017">
            <v>0.38</v>
          </cell>
          <cell r="K1017">
            <v>0.38</v>
          </cell>
          <cell r="L1017">
            <v>0.38</v>
          </cell>
          <cell r="M1017">
            <v>0.38</v>
          </cell>
          <cell r="N1017">
            <v>0.38</v>
          </cell>
          <cell r="P1017">
            <v>0.34200000000000003</v>
          </cell>
          <cell r="Q1017">
            <v>0.34200000000000003</v>
          </cell>
          <cell r="R1017">
            <v>0.34200000000000003</v>
          </cell>
          <cell r="S1017">
            <v>0.34200000000000003</v>
          </cell>
          <cell r="U1017">
            <v>0.30780000000000002</v>
          </cell>
          <cell r="V1017">
            <v>0.27702000000000004</v>
          </cell>
          <cell r="W1017">
            <v>0.24931800000000004</v>
          </cell>
        </row>
        <row r="1018">
          <cell r="A1018" t="str">
            <v>Eka</v>
          </cell>
          <cell r="C1018">
            <v>0.24</v>
          </cell>
          <cell r="D1018">
            <v>0.24</v>
          </cell>
          <cell r="E1018">
            <v>0.24</v>
          </cell>
          <cell r="F1018">
            <v>0.24</v>
          </cell>
          <cell r="G1018">
            <v>0.24</v>
          </cell>
          <cell r="H1018">
            <v>0.24</v>
          </cell>
          <cell r="I1018">
            <v>0.24</v>
          </cell>
          <cell r="J1018">
            <v>0.24</v>
          </cell>
          <cell r="K1018">
            <v>0.24</v>
          </cell>
          <cell r="L1018">
            <v>0.24</v>
          </cell>
          <cell r="M1018">
            <v>0.24</v>
          </cell>
          <cell r="N1018">
            <v>0.24</v>
          </cell>
          <cell r="P1018">
            <v>0.216</v>
          </cell>
          <cell r="Q1018">
            <v>0.216</v>
          </cell>
          <cell r="R1018">
            <v>0.216</v>
          </cell>
          <cell r="S1018">
            <v>0.216</v>
          </cell>
          <cell r="U1018">
            <v>0.19439999999999999</v>
          </cell>
          <cell r="V1018">
            <v>0.17496</v>
          </cell>
          <cell r="W1018">
            <v>0.15746400000000002</v>
          </cell>
        </row>
        <row r="1019">
          <cell r="A1019" t="str">
            <v>Irk</v>
          </cell>
          <cell r="C1019">
            <v>0.42900000000000005</v>
          </cell>
          <cell r="D1019">
            <v>0.42900000000000005</v>
          </cell>
          <cell r="E1019">
            <v>0.42900000000000005</v>
          </cell>
          <cell r="F1019">
            <v>0.42900000000000005</v>
          </cell>
          <cell r="G1019">
            <v>0.42900000000000005</v>
          </cell>
          <cell r="H1019">
            <v>0.42900000000000005</v>
          </cell>
          <cell r="I1019">
            <v>0.42900000000000005</v>
          </cell>
          <cell r="J1019">
            <v>0.42900000000000005</v>
          </cell>
          <cell r="K1019">
            <v>0.42900000000000005</v>
          </cell>
          <cell r="L1019">
            <v>0.42900000000000005</v>
          </cell>
          <cell r="M1019">
            <v>0.42900000000000005</v>
          </cell>
          <cell r="N1019">
            <v>0.42900000000000005</v>
          </cell>
          <cell r="P1019">
            <v>0.38610000000000005</v>
          </cell>
          <cell r="Q1019">
            <v>0.38610000000000005</v>
          </cell>
          <cell r="R1019">
            <v>0.38610000000000005</v>
          </cell>
          <cell r="S1019">
            <v>0.38610000000000005</v>
          </cell>
          <cell r="U1019">
            <v>0.34749000000000008</v>
          </cell>
          <cell r="V1019">
            <v>0.3127410000000001</v>
          </cell>
          <cell r="W1019">
            <v>0.28146690000000008</v>
          </cell>
        </row>
        <row r="1020">
          <cell r="A1020" t="str">
            <v>Kha</v>
          </cell>
          <cell r="C1020">
            <v>0.59</v>
          </cell>
          <cell r="D1020">
            <v>0.59</v>
          </cell>
          <cell r="E1020">
            <v>0.59</v>
          </cell>
          <cell r="F1020">
            <v>0.59</v>
          </cell>
          <cell r="G1020">
            <v>0.59</v>
          </cell>
          <cell r="H1020">
            <v>0.59</v>
          </cell>
          <cell r="I1020">
            <v>0.59</v>
          </cell>
          <cell r="J1020">
            <v>0.59</v>
          </cell>
          <cell r="K1020">
            <v>0.59</v>
          </cell>
          <cell r="L1020">
            <v>0.59</v>
          </cell>
          <cell r="M1020">
            <v>0.59</v>
          </cell>
          <cell r="N1020">
            <v>0.59</v>
          </cell>
          <cell r="P1020">
            <v>0.53100000000000003</v>
          </cell>
          <cell r="Q1020">
            <v>0.53100000000000003</v>
          </cell>
          <cell r="R1020">
            <v>0.53100000000000003</v>
          </cell>
          <cell r="S1020">
            <v>0.53100000000000003</v>
          </cell>
          <cell r="U1020">
            <v>0.47790000000000005</v>
          </cell>
          <cell r="V1020">
            <v>0.43011000000000005</v>
          </cell>
          <cell r="W1020">
            <v>0.38709900000000003</v>
          </cell>
        </row>
        <row r="1021">
          <cell r="A1021" t="str">
            <v>Kra</v>
          </cell>
          <cell r="C1021">
            <v>0.24</v>
          </cell>
          <cell r="D1021">
            <v>0.24</v>
          </cell>
          <cell r="E1021">
            <v>0.24</v>
          </cell>
          <cell r="F1021">
            <v>0.24</v>
          </cell>
          <cell r="G1021">
            <v>0.24</v>
          </cell>
          <cell r="H1021">
            <v>0.24</v>
          </cell>
          <cell r="I1021">
            <v>0.24</v>
          </cell>
          <cell r="J1021">
            <v>0.24</v>
          </cell>
          <cell r="K1021">
            <v>0.24</v>
          </cell>
          <cell r="L1021">
            <v>0.24</v>
          </cell>
          <cell r="M1021">
            <v>0.24</v>
          </cell>
          <cell r="N1021">
            <v>0.24</v>
          </cell>
          <cell r="P1021">
            <v>0.216</v>
          </cell>
          <cell r="Q1021">
            <v>0.216</v>
          </cell>
          <cell r="R1021">
            <v>0.216</v>
          </cell>
          <cell r="S1021">
            <v>0.216</v>
          </cell>
          <cell r="U1021">
            <v>0.19439999999999999</v>
          </cell>
          <cell r="V1021">
            <v>0.17496</v>
          </cell>
          <cell r="W1021">
            <v>0.15746400000000002</v>
          </cell>
        </row>
        <row r="1022">
          <cell r="A1022" t="str">
            <v>Niz</v>
          </cell>
          <cell r="C1022">
            <v>0.23</v>
          </cell>
          <cell r="D1022">
            <v>0.23</v>
          </cell>
          <cell r="E1022">
            <v>0.23</v>
          </cell>
          <cell r="F1022">
            <v>0.23</v>
          </cell>
          <cell r="G1022">
            <v>0.23</v>
          </cell>
          <cell r="H1022">
            <v>0.23</v>
          </cell>
          <cell r="I1022">
            <v>0.23</v>
          </cell>
          <cell r="J1022">
            <v>0.23</v>
          </cell>
          <cell r="K1022">
            <v>0.23</v>
          </cell>
          <cell r="L1022">
            <v>0.23</v>
          </cell>
          <cell r="M1022">
            <v>0.23</v>
          </cell>
          <cell r="N1022">
            <v>0.23</v>
          </cell>
          <cell r="P1022">
            <v>0.20700000000000002</v>
          </cell>
          <cell r="Q1022">
            <v>0.20700000000000002</v>
          </cell>
          <cell r="R1022">
            <v>0.20700000000000002</v>
          </cell>
          <cell r="S1022">
            <v>0.20700000000000002</v>
          </cell>
          <cell r="U1022">
            <v>0.18630000000000002</v>
          </cell>
          <cell r="V1022">
            <v>0.16767000000000001</v>
          </cell>
          <cell r="W1022">
            <v>0.15090300000000001</v>
          </cell>
        </row>
        <row r="1023">
          <cell r="A1023" t="str">
            <v>Nov</v>
          </cell>
          <cell r="C1023">
            <v>0.39600000000000002</v>
          </cell>
          <cell r="D1023">
            <v>0.39600000000000002</v>
          </cell>
          <cell r="E1023">
            <v>0.39600000000000002</v>
          </cell>
          <cell r="F1023">
            <v>0.39600000000000002</v>
          </cell>
          <cell r="G1023">
            <v>0.39600000000000002</v>
          </cell>
          <cell r="H1023">
            <v>0.39600000000000002</v>
          </cell>
          <cell r="I1023">
            <v>0.39600000000000002</v>
          </cell>
          <cell r="J1023">
            <v>0.39600000000000002</v>
          </cell>
          <cell r="K1023">
            <v>0.39600000000000002</v>
          </cell>
          <cell r="L1023">
            <v>0.39600000000000002</v>
          </cell>
          <cell r="M1023">
            <v>0.39600000000000002</v>
          </cell>
          <cell r="N1023">
            <v>0.39600000000000002</v>
          </cell>
          <cell r="P1023">
            <v>0.35640000000000005</v>
          </cell>
          <cell r="Q1023">
            <v>0.35640000000000005</v>
          </cell>
          <cell r="R1023">
            <v>0.35640000000000005</v>
          </cell>
          <cell r="S1023">
            <v>0.35640000000000005</v>
          </cell>
          <cell r="U1023">
            <v>0.32076000000000005</v>
          </cell>
          <cell r="V1023">
            <v>0.28868400000000005</v>
          </cell>
          <cell r="W1023">
            <v>0.25981560000000004</v>
          </cell>
        </row>
        <row r="1024">
          <cell r="A1024" t="str">
            <v>Syk</v>
          </cell>
          <cell r="C1024">
            <v>0.32</v>
          </cell>
          <cell r="D1024">
            <v>0.32</v>
          </cell>
          <cell r="E1024">
            <v>0.32</v>
          </cell>
          <cell r="F1024">
            <v>0.32</v>
          </cell>
          <cell r="G1024">
            <v>0.32</v>
          </cell>
          <cell r="H1024">
            <v>0.32</v>
          </cell>
          <cell r="I1024">
            <v>0.32</v>
          </cell>
          <cell r="J1024">
            <v>0.32</v>
          </cell>
          <cell r="K1024">
            <v>0.32</v>
          </cell>
          <cell r="L1024">
            <v>0.32</v>
          </cell>
          <cell r="M1024">
            <v>0.32</v>
          </cell>
          <cell r="N1024">
            <v>0.32</v>
          </cell>
          <cell r="P1024">
            <v>0.28800000000000003</v>
          </cell>
          <cell r="Q1024">
            <v>0.28800000000000003</v>
          </cell>
          <cell r="R1024">
            <v>0.28800000000000003</v>
          </cell>
          <cell r="S1024">
            <v>0.28800000000000003</v>
          </cell>
          <cell r="U1024">
            <v>0.25920000000000004</v>
          </cell>
          <cell r="V1024">
            <v>0.23328000000000004</v>
          </cell>
          <cell r="W1024">
            <v>0.20995200000000006</v>
          </cell>
        </row>
        <row r="1025">
          <cell r="A1025" t="str">
            <v>Tyu</v>
          </cell>
          <cell r="C1025">
            <v>0.39600000000000002</v>
          </cell>
          <cell r="D1025">
            <v>0.39600000000000002</v>
          </cell>
          <cell r="E1025">
            <v>0.39600000000000002</v>
          </cell>
          <cell r="F1025">
            <v>0.39600000000000002</v>
          </cell>
          <cell r="G1025">
            <v>0.39600000000000002</v>
          </cell>
          <cell r="H1025">
            <v>0.39600000000000002</v>
          </cell>
          <cell r="I1025">
            <v>0.39600000000000002</v>
          </cell>
          <cell r="J1025">
            <v>0.39600000000000002</v>
          </cell>
          <cell r="K1025">
            <v>0.39600000000000002</v>
          </cell>
          <cell r="L1025">
            <v>0.39600000000000002</v>
          </cell>
          <cell r="M1025">
            <v>0.39600000000000002</v>
          </cell>
          <cell r="N1025">
            <v>0.39600000000000002</v>
          </cell>
          <cell r="P1025">
            <v>0.35640000000000005</v>
          </cell>
          <cell r="Q1025">
            <v>0.35640000000000005</v>
          </cell>
          <cell r="R1025">
            <v>0.35640000000000005</v>
          </cell>
          <cell r="S1025">
            <v>0.35640000000000005</v>
          </cell>
          <cell r="U1025">
            <v>0.32076000000000005</v>
          </cell>
          <cell r="V1025">
            <v>0.28868400000000005</v>
          </cell>
          <cell r="W1025">
            <v>0.25981560000000004</v>
          </cell>
        </row>
        <row r="1026">
          <cell r="A1026" t="str">
            <v>Ufa</v>
          </cell>
          <cell r="C1026">
            <v>0.3</v>
          </cell>
          <cell r="D1026">
            <v>0.3</v>
          </cell>
          <cell r="E1026">
            <v>0.3</v>
          </cell>
          <cell r="F1026">
            <v>0.3</v>
          </cell>
          <cell r="G1026">
            <v>0.3</v>
          </cell>
          <cell r="H1026">
            <v>0.3</v>
          </cell>
          <cell r="I1026">
            <v>0.3</v>
          </cell>
          <cell r="J1026">
            <v>0.3</v>
          </cell>
          <cell r="K1026">
            <v>0.3</v>
          </cell>
          <cell r="L1026">
            <v>0.3</v>
          </cell>
          <cell r="M1026">
            <v>0.3</v>
          </cell>
          <cell r="N1026">
            <v>0.3</v>
          </cell>
          <cell r="P1026">
            <v>0.27</v>
          </cell>
          <cell r="Q1026">
            <v>0.27</v>
          </cell>
          <cell r="R1026">
            <v>0.27</v>
          </cell>
          <cell r="S1026">
            <v>0.27</v>
          </cell>
          <cell r="U1026">
            <v>0.24300000000000002</v>
          </cell>
          <cell r="V1026">
            <v>0.21870000000000003</v>
          </cell>
          <cell r="W1026">
            <v>0.19683000000000003</v>
          </cell>
        </row>
        <row r="1027">
          <cell r="A1027" t="str">
            <v>Vla</v>
          </cell>
          <cell r="C1027">
            <v>0.47249999999999998</v>
          </cell>
          <cell r="D1027">
            <v>0.47249999999999998</v>
          </cell>
          <cell r="E1027">
            <v>0.47249999999999998</v>
          </cell>
          <cell r="F1027">
            <v>0.47249999999999998</v>
          </cell>
          <cell r="G1027">
            <v>0.47249999999999998</v>
          </cell>
          <cell r="H1027">
            <v>0.47249999999999998</v>
          </cell>
          <cell r="I1027">
            <v>0.47249999999999998</v>
          </cell>
          <cell r="J1027">
            <v>0.47249999999999998</v>
          </cell>
          <cell r="K1027">
            <v>0.47249999999999998</v>
          </cell>
          <cell r="L1027">
            <v>0.47249999999999998</v>
          </cell>
          <cell r="M1027">
            <v>0.47249999999999998</v>
          </cell>
          <cell r="N1027">
            <v>0.47249999999999998</v>
          </cell>
          <cell r="P1027">
            <v>0.42524999999999996</v>
          </cell>
          <cell r="Q1027">
            <v>0.42524999999999996</v>
          </cell>
          <cell r="R1027">
            <v>0.42524999999999996</v>
          </cell>
          <cell r="S1027">
            <v>0.42524999999999996</v>
          </cell>
          <cell r="U1027">
            <v>0.38272499999999998</v>
          </cell>
          <cell r="V1027">
            <v>0.34445249999999999</v>
          </cell>
          <cell r="W1027">
            <v>0.31000725000000001</v>
          </cell>
        </row>
        <row r="1028">
          <cell r="A1028" t="str">
            <v>Vol</v>
          </cell>
          <cell r="C1028">
            <v>0.39</v>
          </cell>
          <cell r="D1028">
            <v>0.39</v>
          </cell>
          <cell r="E1028">
            <v>0.39</v>
          </cell>
          <cell r="F1028">
            <v>0.39</v>
          </cell>
          <cell r="G1028">
            <v>0.39</v>
          </cell>
          <cell r="H1028">
            <v>0.39</v>
          </cell>
          <cell r="I1028">
            <v>0.39</v>
          </cell>
          <cell r="J1028">
            <v>0.39</v>
          </cell>
          <cell r="K1028">
            <v>0.39</v>
          </cell>
          <cell r="L1028">
            <v>0.39</v>
          </cell>
          <cell r="M1028">
            <v>0.39</v>
          </cell>
          <cell r="N1028">
            <v>0.39</v>
          </cell>
          <cell r="P1028">
            <v>0.35100000000000003</v>
          </cell>
          <cell r="Q1028">
            <v>0.35100000000000003</v>
          </cell>
          <cell r="R1028">
            <v>0.35100000000000003</v>
          </cell>
          <cell r="S1028">
            <v>0.35100000000000003</v>
          </cell>
          <cell r="U1028">
            <v>0.31590000000000001</v>
          </cell>
          <cell r="V1028">
            <v>0.28431000000000001</v>
          </cell>
          <cell r="W1028">
            <v>0.25587900000000002</v>
          </cell>
        </row>
        <row r="1029">
          <cell r="A1029" t="str">
            <v>Vor</v>
          </cell>
          <cell r="C1029">
            <v>0.24</v>
          </cell>
          <cell r="D1029">
            <v>0.24</v>
          </cell>
          <cell r="E1029">
            <v>0.24</v>
          </cell>
          <cell r="F1029">
            <v>0.24</v>
          </cell>
          <cell r="G1029">
            <v>0.24</v>
          </cell>
          <cell r="H1029">
            <v>0.24</v>
          </cell>
          <cell r="I1029">
            <v>0.24</v>
          </cell>
          <cell r="J1029">
            <v>0.24</v>
          </cell>
          <cell r="K1029">
            <v>0.24</v>
          </cell>
          <cell r="L1029">
            <v>0.24</v>
          </cell>
          <cell r="M1029">
            <v>0.24</v>
          </cell>
          <cell r="N1029">
            <v>0.24</v>
          </cell>
          <cell r="P1029">
            <v>0.216</v>
          </cell>
          <cell r="Q1029">
            <v>0.216</v>
          </cell>
          <cell r="R1029">
            <v>0.216</v>
          </cell>
          <cell r="S1029">
            <v>0.216</v>
          </cell>
          <cell r="U1029">
            <v>0.19439999999999999</v>
          </cell>
          <cell r="V1029">
            <v>0.17496</v>
          </cell>
          <cell r="W1029">
            <v>0.15746400000000002</v>
          </cell>
        </row>
        <row r="1030">
          <cell r="A1030" t="str">
            <v>97#1</v>
          </cell>
          <cell r="C1030">
            <v>0.24</v>
          </cell>
          <cell r="D1030">
            <v>0.24</v>
          </cell>
          <cell r="E1030">
            <v>0.24</v>
          </cell>
          <cell r="F1030">
            <v>0.24</v>
          </cell>
          <cell r="G1030">
            <v>0.24</v>
          </cell>
          <cell r="H1030">
            <v>0.24</v>
          </cell>
          <cell r="I1030">
            <v>0.24</v>
          </cell>
          <cell r="J1030">
            <v>0.24</v>
          </cell>
          <cell r="K1030">
            <v>0.24</v>
          </cell>
          <cell r="L1030">
            <v>0.24</v>
          </cell>
          <cell r="M1030">
            <v>0.24</v>
          </cell>
          <cell r="N1030">
            <v>0.24</v>
          </cell>
          <cell r="P1030">
            <v>0.216</v>
          </cell>
          <cell r="Q1030">
            <v>0.216</v>
          </cell>
          <cell r="R1030">
            <v>0.216</v>
          </cell>
          <cell r="S1030">
            <v>0.216</v>
          </cell>
          <cell r="U1030">
            <v>0.19439999999999999</v>
          </cell>
          <cell r="V1030">
            <v>0.17496</v>
          </cell>
          <cell r="W1030">
            <v>0.15746400000000002</v>
          </cell>
        </row>
        <row r="1031">
          <cell r="A1031" t="str">
            <v>97#2</v>
          </cell>
          <cell r="C1031">
            <v>0.24</v>
          </cell>
          <cell r="D1031">
            <v>0.24</v>
          </cell>
          <cell r="E1031">
            <v>0.24</v>
          </cell>
          <cell r="F1031">
            <v>0.24</v>
          </cell>
          <cell r="G1031">
            <v>0.24</v>
          </cell>
          <cell r="H1031">
            <v>0.24</v>
          </cell>
          <cell r="I1031">
            <v>0.24</v>
          </cell>
          <cell r="J1031">
            <v>0.24</v>
          </cell>
          <cell r="K1031">
            <v>0.24</v>
          </cell>
          <cell r="L1031">
            <v>0.24</v>
          </cell>
          <cell r="M1031">
            <v>0.24</v>
          </cell>
          <cell r="N1031">
            <v>0.24</v>
          </cell>
          <cell r="P1031">
            <v>0.216</v>
          </cell>
          <cell r="Q1031">
            <v>0.216</v>
          </cell>
          <cell r="R1031">
            <v>0.216</v>
          </cell>
          <cell r="S1031">
            <v>0.216</v>
          </cell>
          <cell r="U1031">
            <v>0.19439999999999999</v>
          </cell>
          <cell r="V1031">
            <v>0.17496</v>
          </cell>
          <cell r="W1031">
            <v>0.15746400000000002</v>
          </cell>
        </row>
        <row r="1032">
          <cell r="A1032" t="str">
            <v>98#1</v>
          </cell>
          <cell r="C1032">
            <v>0.24</v>
          </cell>
          <cell r="D1032">
            <v>0.24</v>
          </cell>
          <cell r="E1032">
            <v>0.24</v>
          </cell>
          <cell r="F1032">
            <v>0.24</v>
          </cell>
          <cell r="G1032">
            <v>0.24</v>
          </cell>
          <cell r="H1032">
            <v>0.24</v>
          </cell>
          <cell r="I1032">
            <v>0.24</v>
          </cell>
          <cell r="J1032">
            <v>0.24</v>
          </cell>
          <cell r="K1032">
            <v>0.24</v>
          </cell>
          <cell r="L1032">
            <v>0.24</v>
          </cell>
          <cell r="M1032">
            <v>0.24</v>
          </cell>
          <cell r="N1032">
            <v>0.24</v>
          </cell>
          <cell r="P1032">
            <v>0.216</v>
          </cell>
          <cell r="Q1032">
            <v>0.216</v>
          </cell>
          <cell r="R1032">
            <v>0.216</v>
          </cell>
          <cell r="S1032">
            <v>0.216</v>
          </cell>
          <cell r="U1032">
            <v>0.19439999999999999</v>
          </cell>
          <cell r="V1032">
            <v>0.17496</v>
          </cell>
          <cell r="W1032">
            <v>0.15746400000000002</v>
          </cell>
        </row>
        <row r="1033">
          <cell r="A1033" t="str">
            <v>98#2</v>
          </cell>
          <cell r="C1033">
            <v>0.24</v>
          </cell>
          <cell r="D1033">
            <v>0.24</v>
          </cell>
          <cell r="E1033">
            <v>0.24</v>
          </cell>
          <cell r="F1033">
            <v>0.24</v>
          </cell>
          <cell r="G1033">
            <v>0.24</v>
          </cell>
          <cell r="H1033">
            <v>0.24</v>
          </cell>
          <cell r="I1033">
            <v>0.24</v>
          </cell>
          <cell r="J1033">
            <v>0.24</v>
          </cell>
          <cell r="K1033">
            <v>0.24</v>
          </cell>
          <cell r="L1033">
            <v>0.24</v>
          </cell>
          <cell r="M1033">
            <v>0.24</v>
          </cell>
          <cell r="N1033">
            <v>0.24</v>
          </cell>
          <cell r="P1033">
            <v>0.216</v>
          </cell>
          <cell r="Q1033">
            <v>0.216</v>
          </cell>
          <cell r="R1033">
            <v>0.216</v>
          </cell>
          <cell r="S1033">
            <v>0.216</v>
          </cell>
          <cell r="U1033">
            <v>0.19439999999999999</v>
          </cell>
          <cell r="V1033">
            <v>0.17496</v>
          </cell>
          <cell r="W1033">
            <v>0.15746400000000002</v>
          </cell>
        </row>
        <row r="1034">
          <cell r="A1034" t="str">
            <v>Mos</v>
          </cell>
        </row>
        <row r="1035">
          <cell r="A1035" t="str">
            <v>Con</v>
          </cell>
          <cell r="C1035">
            <v>0.89653846153846151</v>
          </cell>
          <cell r="D1035">
            <v>0.89653846153846151</v>
          </cell>
          <cell r="E1035">
            <v>0.89653846153846151</v>
          </cell>
          <cell r="F1035">
            <v>0.89653846153846151</v>
          </cell>
          <cell r="G1035">
            <v>0.89653846153846151</v>
          </cell>
          <cell r="H1035">
            <v>0.89653846153846151</v>
          </cell>
          <cell r="I1035">
            <v>0.89653846153846151</v>
          </cell>
          <cell r="J1035">
            <v>0.89653846153846151</v>
          </cell>
          <cell r="K1035">
            <v>0.89653846153846151</v>
          </cell>
          <cell r="L1035">
            <v>0.89653846153846151</v>
          </cell>
          <cell r="M1035">
            <v>0.89653846153846151</v>
          </cell>
          <cell r="N1035">
            <v>0.89653846153846151</v>
          </cell>
          <cell r="P1035">
            <v>0.80688461538461542</v>
          </cell>
          <cell r="Q1035">
            <v>0.80688461538461542</v>
          </cell>
          <cell r="R1035">
            <v>0.80688461538461542</v>
          </cell>
          <cell r="S1035">
            <v>0.80688461538461542</v>
          </cell>
          <cell r="U1035">
            <v>0.72619615384615388</v>
          </cell>
          <cell r="V1035">
            <v>0.65357653846153851</v>
          </cell>
          <cell r="W1035">
            <v>0.58821888461538463</v>
          </cell>
        </row>
        <row r="1037">
          <cell r="A1037" t="str">
            <v>BC Number of international min. per line</v>
          </cell>
        </row>
        <row r="1038">
          <cell r="B1038">
            <v>35765</v>
          </cell>
          <cell r="C1038">
            <v>35796</v>
          </cell>
          <cell r="D1038">
            <v>35827</v>
          </cell>
          <cell r="E1038">
            <v>35855</v>
          </cell>
          <cell r="F1038">
            <v>35886</v>
          </cell>
          <cell r="G1038">
            <v>35916</v>
          </cell>
          <cell r="H1038">
            <v>35947</v>
          </cell>
          <cell r="I1038">
            <v>35977</v>
          </cell>
          <cell r="J1038">
            <v>36008</v>
          </cell>
          <cell r="K1038">
            <v>36039</v>
          </cell>
          <cell r="L1038">
            <v>36069</v>
          </cell>
          <cell r="M1038">
            <v>36100</v>
          </cell>
          <cell r="N1038">
            <v>36130</v>
          </cell>
          <cell r="O1038" t="str">
            <v>Total 98</v>
          </cell>
          <cell r="P1038" t="str">
            <v>Q1-99</v>
          </cell>
          <cell r="Q1038" t="str">
            <v>Q2-99</v>
          </cell>
          <cell r="R1038" t="str">
            <v>Q3-99</v>
          </cell>
          <cell r="S1038" t="str">
            <v>Q4-99</v>
          </cell>
          <cell r="T1038" t="str">
            <v>Total 99</v>
          </cell>
          <cell r="U1038">
            <v>2000</v>
          </cell>
          <cell r="V1038">
            <v>2001</v>
          </cell>
          <cell r="W1038">
            <v>2002</v>
          </cell>
        </row>
        <row r="1039">
          <cell r="A1039" t="str">
            <v>Ark</v>
          </cell>
          <cell r="B1039">
            <v>450</v>
          </cell>
          <cell r="C1039">
            <v>225</v>
          </cell>
          <cell r="D1039">
            <v>450</v>
          </cell>
          <cell r="E1039">
            <v>450</v>
          </cell>
          <cell r="F1039">
            <v>450</v>
          </cell>
          <cell r="G1039">
            <v>337.5</v>
          </cell>
          <cell r="H1039">
            <v>450</v>
          </cell>
          <cell r="I1039">
            <v>450</v>
          </cell>
          <cell r="J1039">
            <v>450</v>
          </cell>
          <cell r="K1039">
            <v>450</v>
          </cell>
          <cell r="L1039">
            <v>450</v>
          </cell>
          <cell r="M1039">
            <v>450</v>
          </cell>
          <cell r="N1039">
            <v>450</v>
          </cell>
          <cell r="P1039">
            <v>463.5</v>
          </cell>
          <cell r="Q1039">
            <v>477.40500000000003</v>
          </cell>
          <cell r="R1039">
            <v>491.72715000000005</v>
          </cell>
          <cell r="S1039">
            <v>506.47896450000007</v>
          </cell>
          <cell r="U1039">
            <v>582.45080917500002</v>
          </cell>
          <cell r="V1039">
            <v>669.81843055125</v>
          </cell>
          <cell r="W1039">
            <v>770.29119513393744</v>
          </cell>
        </row>
        <row r="1040">
          <cell r="A1040" t="str">
            <v>Eka</v>
          </cell>
          <cell r="B1040">
            <v>450</v>
          </cell>
          <cell r="C1040">
            <v>225</v>
          </cell>
          <cell r="D1040">
            <v>450</v>
          </cell>
          <cell r="E1040">
            <v>450</v>
          </cell>
          <cell r="F1040">
            <v>450</v>
          </cell>
          <cell r="G1040">
            <v>337.5</v>
          </cell>
          <cell r="H1040">
            <v>450</v>
          </cell>
          <cell r="I1040">
            <v>450</v>
          </cell>
          <cell r="J1040">
            <v>450</v>
          </cell>
          <cell r="K1040">
            <v>450</v>
          </cell>
          <cell r="L1040">
            <v>450</v>
          </cell>
          <cell r="M1040">
            <v>450</v>
          </cell>
          <cell r="N1040">
            <v>450</v>
          </cell>
          <cell r="P1040">
            <v>463.5</v>
          </cell>
          <cell r="Q1040">
            <v>477.40500000000003</v>
          </cell>
          <cell r="R1040">
            <v>491.72715000000005</v>
          </cell>
          <cell r="S1040">
            <v>506.47896450000007</v>
          </cell>
          <cell r="U1040">
            <v>582.45080917500002</v>
          </cell>
          <cell r="V1040">
            <v>669.81843055125</v>
          </cell>
          <cell r="W1040">
            <v>770.29119513393744</v>
          </cell>
        </row>
        <row r="1041">
          <cell r="A1041" t="str">
            <v>Irk</v>
          </cell>
          <cell r="B1041">
            <v>450</v>
          </cell>
          <cell r="C1041">
            <v>225</v>
          </cell>
          <cell r="D1041">
            <v>450</v>
          </cell>
          <cell r="E1041">
            <v>450</v>
          </cell>
          <cell r="F1041">
            <v>450</v>
          </cell>
          <cell r="G1041">
            <v>337.5</v>
          </cell>
          <cell r="H1041">
            <v>450</v>
          </cell>
          <cell r="I1041">
            <v>450</v>
          </cell>
          <cell r="J1041">
            <v>450</v>
          </cell>
          <cell r="K1041">
            <v>450</v>
          </cell>
          <cell r="L1041">
            <v>450</v>
          </cell>
          <cell r="M1041">
            <v>450</v>
          </cell>
          <cell r="N1041">
            <v>450</v>
          </cell>
          <cell r="P1041">
            <v>463.5</v>
          </cell>
          <cell r="Q1041">
            <v>477.40500000000003</v>
          </cell>
          <cell r="R1041">
            <v>491.72715000000005</v>
          </cell>
          <cell r="S1041">
            <v>506.47896450000007</v>
          </cell>
          <cell r="U1041">
            <v>582.45080917500002</v>
          </cell>
          <cell r="V1041">
            <v>669.81843055125</v>
          </cell>
          <cell r="W1041">
            <v>770.29119513393744</v>
          </cell>
        </row>
        <row r="1042">
          <cell r="A1042" t="str">
            <v>Kha</v>
          </cell>
          <cell r="B1042">
            <v>450</v>
          </cell>
          <cell r="C1042">
            <v>225</v>
          </cell>
          <cell r="D1042">
            <v>450</v>
          </cell>
          <cell r="E1042">
            <v>450</v>
          </cell>
          <cell r="F1042">
            <v>450</v>
          </cell>
          <cell r="G1042">
            <v>337.5</v>
          </cell>
          <cell r="H1042">
            <v>450</v>
          </cell>
          <cell r="I1042">
            <v>450</v>
          </cell>
          <cell r="J1042">
            <v>450</v>
          </cell>
          <cell r="K1042">
            <v>450</v>
          </cell>
          <cell r="L1042">
            <v>450</v>
          </cell>
          <cell r="M1042">
            <v>450</v>
          </cell>
          <cell r="N1042">
            <v>450</v>
          </cell>
          <cell r="P1042">
            <v>463.5</v>
          </cell>
          <cell r="Q1042">
            <v>477.40500000000003</v>
          </cell>
          <cell r="R1042">
            <v>491.72715000000005</v>
          </cell>
          <cell r="S1042">
            <v>506.47896450000007</v>
          </cell>
          <cell r="U1042">
            <v>582.45080917500002</v>
          </cell>
          <cell r="V1042">
            <v>669.81843055125</v>
          </cell>
          <cell r="W1042">
            <v>770.29119513393744</v>
          </cell>
        </row>
        <row r="1043">
          <cell r="A1043" t="str">
            <v>Kra</v>
          </cell>
          <cell r="B1043">
            <v>450</v>
          </cell>
          <cell r="C1043">
            <v>225</v>
          </cell>
          <cell r="D1043">
            <v>450</v>
          </cell>
          <cell r="E1043">
            <v>450</v>
          </cell>
          <cell r="F1043">
            <v>450</v>
          </cell>
          <cell r="G1043">
            <v>337.5</v>
          </cell>
          <cell r="H1043">
            <v>450</v>
          </cell>
          <cell r="I1043">
            <v>450</v>
          </cell>
          <cell r="J1043">
            <v>450</v>
          </cell>
          <cell r="K1043">
            <v>450</v>
          </cell>
          <cell r="L1043">
            <v>450</v>
          </cell>
          <cell r="M1043">
            <v>450</v>
          </cell>
          <cell r="N1043">
            <v>450</v>
          </cell>
          <cell r="P1043">
            <v>463.5</v>
          </cell>
          <cell r="Q1043">
            <v>477.40500000000003</v>
          </cell>
          <cell r="R1043">
            <v>491.72715000000005</v>
          </cell>
          <cell r="S1043">
            <v>506.47896450000007</v>
          </cell>
          <cell r="U1043">
            <v>582.45080917500002</v>
          </cell>
          <cell r="V1043">
            <v>669.81843055125</v>
          </cell>
          <cell r="W1043">
            <v>770.29119513393744</v>
          </cell>
        </row>
        <row r="1044">
          <cell r="A1044" t="str">
            <v>Niz</v>
          </cell>
          <cell r="B1044">
            <v>450</v>
          </cell>
          <cell r="C1044">
            <v>225</v>
          </cell>
          <cell r="D1044">
            <v>450</v>
          </cell>
          <cell r="E1044">
            <v>450</v>
          </cell>
          <cell r="F1044">
            <v>450</v>
          </cell>
          <cell r="G1044">
            <v>337.5</v>
          </cell>
          <cell r="H1044">
            <v>450</v>
          </cell>
          <cell r="I1044">
            <v>450</v>
          </cell>
          <cell r="J1044">
            <v>450</v>
          </cell>
          <cell r="K1044">
            <v>450</v>
          </cell>
          <cell r="L1044">
            <v>450</v>
          </cell>
          <cell r="M1044">
            <v>450</v>
          </cell>
          <cell r="N1044">
            <v>450</v>
          </cell>
          <cell r="P1044">
            <v>463.5</v>
          </cell>
          <cell r="Q1044">
            <v>477.40500000000003</v>
          </cell>
          <cell r="R1044">
            <v>491.72715000000005</v>
          </cell>
          <cell r="S1044">
            <v>506.47896450000007</v>
          </cell>
          <cell r="U1044">
            <v>582.45080917500002</v>
          </cell>
          <cell r="V1044">
            <v>669.81843055125</v>
          </cell>
          <cell r="W1044">
            <v>770.29119513393744</v>
          </cell>
        </row>
        <row r="1045">
          <cell r="A1045" t="str">
            <v>Nov</v>
          </cell>
          <cell r="B1045">
            <v>450</v>
          </cell>
          <cell r="C1045">
            <v>225</v>
          </cell>
          <cell r="D1045">
            <v>450</v>
          </cell>
          <cell r="E1045">
            <v>450</v>
          </cell>
          <cell r="F1045">
            <v>450</v>
          </cell>
          <cell r="G1045">
            <v>337.5</v>
          </cell>
          <cell r="H1045">
            <v>450</v>
          </cell>
          <cell r="I1045">
            <v>450</v>
          </cell>
          <cell r="J1045">
            <v>450</v>
          </cell>
          <cell r="K1045">
            <v>450</v>
          </cell>
          <cell r="L1045">
            <v>450</v>
          </cell>
          <cell r="M1045">
            <v>450</v>
          </cell>
          <cell r="N1045">
            <v>450</v>
          </cell>
          <cell r="P1045">
            <v>463.5</v>
          </cell>
          <cell r="Q1045">
            <v>477.40500000000003</v>
          </cell>
          <cell r="R1045">
            <v>491.72715000000005</v>
          </cell>
          <cell r="S1045">
            <v>506.47896450000007</v>
          </cell>
          <cell r="U1045">
            <v>582.45080917500002</v>
          </cell>
          <cell r="V1045">
            <v>669.81843055125</v>
          </cell>
          <cell r="W1045">
            <v>770.29119513393744</v>
          </cell>
        </row>
        <row r="1046">
          <cell r="A1046" t="str">
            <v>Syk</v>
          </cell>
          <cell r="B1046">
            <v>450</v>
          </cell>
          <cell r="C1046">
            <v>225</v>
          </cell>
          <cell r="D1046">
            <v>450</v>
          </cell>
          <cell r="E1046">
            <v>450</v>
          </cell>
          <cell r="F1046">
            <v>450</v>
          </cell>
          <cell r="G1046">
            <v>337.5</v>
          </cell>
          <cell r="H1046">
            <v>450</v>
          </cell>
          <cell r="I1046">
            <v>450</v>
          </cell>
          <cell r="J1046">
            <v>450</v>
          </cell>
          <cell r="K1046">
            <v>450</v>
          </cell>
          <cell r="L1046">
            <v>450</v>
          </cell>
          <cell r="M1046">
            <v>450</v>
          </cell>
          <cell r="N1046">
            <v>450</v>
          </cell>
          <cell r="P1046">
            <v>463.5</v>
          </cell>
          <cell r="Q1046">
            <v>477.40500000000003</v>
          </cell>
          <cell r="R1046">
            <v>491.72715000000005</v>
          </cell>
          <cell r="S1046">
            <v>506.47896450000007</v>
          </cell>
          <cell r="U1046">
            <v>582.45080917500002</v>
          </cell>
          <cell r="V1046">
            <v>669.81843055125</v>
          </cell>
          <cell r="W1046">
            <v>770.29119513393744</v>
          </cell>
        </row>
        <row r="1047">
          <cell r="A1047" t="str">
            <v>Tyu</v>
          </cell>
          <cell r="B1047">
            <v>450</v>
          </cell>
          <cell r="C1047">
            <v>225</v>
          </cell>
          <cell r="D1047">
            <v>450</v>
          </cell>
          <cell r="E1047">
            <v>450</v>
          </cell>
          <cell r="F1047">
            <v>450</v>
          </cell>
          <cell r="G1047">
            <v>337.5</v>
          </cell>
          <cell r="H1047">
            <v>450</v>
          </cell>
          <cell r="I1047">
            <v>450</v>
          </cell>
          <cell r="J1047">
            <v>450</v>
          </cell>
          <cell r="K1047">
            <v>450</v>
          </cell>
          <cell r="L1047">
            <v>450</v>
          </cell>
          <cell r="M1047">
            <v>450</v>
          </cell>
          <cell r="N1047">
            <v>450</v>
          </cell>
          <cell r="P1047">
            <v>463.5</v>
          </cell>
          <cell r="Q1047">
            <v>477.40500000000003</v>
          </cell>
          <cell r="R1047">
            <v>491.72715000000005</v>
          </cell>
          <cell r="S1047">
            <v>506.47896450000007</v>
          </cell>
          <cell r="U1047">
            <v>582.45080917500002</v>
          </cell>
          <cell r="V1047">
            <v>669.81843055125</v>
          </cell>
          <cell r="W1047">
            <v>770.29119513393744</v>
          </cell>
        </row>
        <row r="1048">
          <cell r="A1048" t="str">
            <v>Ufa</v>
          </cell>
          <cell r="B1048">
            <v>450</v>
          </cell>
          <cell r="C1048">
            <v>225</v>
          </cell>
          <cell r="D1048">
            <v>450</v>
          </cell>
          <cell r="E1048">
            <v>450</v>
          </cell>
          <cell r="F1048">
            <v>450</v>
          </cell>
          <cell r="G1048">
            <v>337.5</v>
          </cell>
          <cell r="H1048">
            <v>450</v>
          </cell>
          <cell r="I1048">
            <v>450</v>
          </cell>
          <cell r="J1048">
            <v>450</v>
          </cell>
          <cell r="K1048">
            <v>450</v>
          </cell>
          <cell r="L1048">
            <v>450</v>
          </cell>
          <cell r="M1048">
            <v>450</v>
          </cell>
          <cell r="N1048">
            <v>450</v>
          </cell>
          <cell r="P1048">
            <v>463.5</v>
          </cell>
          <cell r="Q1048">
            <v>477.40500000000003</v>
          </cell>
          <cell r="R1048">
            <v>491.72715000000005</v>
          </cell>
          <cell r="S1048">
            <v>506.47896450000007</v>
          </cell>
          <cell r="U1048">
            <v>582.45080917500002</v>
          </cell>
          <cell r="V1048">
            <v>669.81843055125</v>
          </cell>
          <cell r="W1048">
            <v>770.29119513393744</v>
          </cell>
        </row>
        <row r="1049">
          <cell r="A1049" t="str">
            <v>Vla</v>
          </cell>
          <cell r="B1049">
            <v>450</v>
          </cell>
          <cell r="C1049">
            <v>225</v>
          </cell>
          <cell r="D1049">
            <v>450</v>
          </cell>
          <cell r="E1049">
            <v>450</v>
          </cell>
          <cell r="F1049">
            <v>450</v>
          </cell>
          <cell r="G1049">
            <v>337.5</v>
          </cell>
          <cell r="H1049">
            <v>450</v>
          </cell>
          <cell r="I1049">
            <v>450</v>
          </cell>
          <cell r="J1049">
            <v>450</v>
          </cell>
          <cell r="K1049">
            <v>450</v>
          </cell>
          <cell r="L1049">
            <v>450</v>
          </cell>
          <cell r="M1049">
            <v>450</v>
          </cell>
          <cell r="N1049">
            <v>450</v>
          </cell>
          <cell r="P1049">
            <v>463.5</v>
          </cell>
          <cell r="Q1049">
            <v>477.40500000000003</v>
          </cell>
          <cell r="R1049">
            <v>491.72715000000005</v>
          </cell>
          <cell r="S1049">
            <v>506.47896450000007</v>
          </cell>
          <cell r="U1049">
            <v>582.45080917500002</v>
          </cell>
          <cell r="V1049">
            <v>669.81843055125</v>
          </cell>
          <cell r="W1049">
            <v>770.29119513393744</v>
          </cell>
        </row>
        <row r="1050">
          <cell r="A1050" t="str">
            <v>Vol</v>
          </cell>
          <cell r="B1050">
            <v>450</v>
          </cell>
          <cell r="C1050">
            <v>225</v>
          </cell>
          <cell r="D1050">
            <v>450</v>
          </cell>
          <cell r="E1050">
            <v>450</v>
          </cell>
          <cell r="F1050">
            <v>450</v>
          </cell>
          <cell r="G1050">
            <v>337.5</v>
          </cell>
          <cell r="H1050">
            <v>450</v>
          </cell>
          <cell r="I1050">
            <v>450</v>
          </cell>
          <cell r="J1050">
            <v>450</v>
          </cell>
          <cell r="K1050">
            <v>450</v>
          </cell>
          <cell r="L1050">
            <v>450</v>
          </cell>
          <cell r="M1050">
            <v>450</v>
          </cell>
          <cell r="N1050">
            <v>450</v>
          </cell>
          <cell r="P1050">
            <v>463.5</v>
          </cell>
          <cell r="Q1050">
            <v>477.40500000000003</v>
          </cell>
          <cell r="R1050">
            <v>491.72715000000005</v>
          </cell>
          <cell r="S1050">
            <v>506.47896450000007</v>
          </cell>
          <cell r="U1050">
            <v>582.45080917500002</v>
          </cell>
          <cell r="V1050">
            <v>669.81843055125</v>
          </cell>
          <cell r="W1050">
            <v>770.29119513393744</v>
          </cell>
        </row>
        <row r="1051">
          <cell r="A1051" t="str">
            <v>Vor</v>
          </cell>
          <cell r="B1051">
            <v>450</v>
          </cell>
          <cell r="C1051">
            <v>225</v>
          </cell>
          <cell r="D1051">
            <v>450</v>
          </cell>
          <cell r="E1051">
            <v>450</v>
          </cell>
          <cell r="F1051">
            <v>450</v>
          </cell>
          <cell r="G1051">
            <v>337.5</v>
          </cell>
          <cell r="H1051">
            <v>450</v>
          </cell>
          <cell r="I1051">
            <v>450</v>
          </cell>
          <cell r="J1051">
            <v>450</v>
          </cell>
          <cell r="K1051">
            <v>450</v>
          </cell>
          <cell r="L1051">
            <v>450</v>
          </cell>
          <cell r="M1051">
            <v>450</v>
          </cell>
          <cell r="N1051">
            <v>450</v>
          </cell>
          <cell r="P1051">
            <v>463.5</v>
          </cell>
          <cell r="Q1051">
            <v>477.40500000000003</v>
          </cell>
          <cell r="R1051">
            <v>491.72715000000005</v>
          </cell>
          <cell r="S1051">
            <v>506.47896450000007</v>
          </cell>
          <cell r="U1051">
            <v>582.45080917500002</v>
          </cell>
          <cell r="V1051">
            <v>669.81843055125</v>
          </cell>
          <cell r="W1051">
            <v>770.29119513393744</v>
          </cell>
        </row>
        <row r="1052">
          <cell r="A1052" t="str">
            <v>97#1</v>
          </cell>
          <cell r="B1052">
            <v>450</v>
          </cell>
          <cell r="C1052">
            <v>225</v>
          </cell>
          <cell r="D1052">
            <v>450</v>
          </cell>
          <cell r="E1052">
            <v>450</v>
          </cell>
          <cell r="F1052">
            <v>450</v>
          </cell>
          <cell r="G1052">
            <v>337.5</v>
          </cell>
          <cell r="H1052">
            <v>450</v>
          </cell>
          <cell r="I1052">
            <v>450</v>
          </cell>
          <cell r="J1052">
            <v>450</v>
          </cell>
          <cell r="K1052">
            <v>450</v>
          </cell>
          <cell r="L1052">
            <v>450</v>
          </cell>
          <cell r="M1052">
            <v>450</v>
          </cell>
          <cell r="N1052">
            <v>450</v>
          </cell>
          <cell r="P1052">
            <v>463.5</v>
          </cell>
          <cell r="Q1052">
            <v>477.40500000000003</v>
          </cell>
          <cell r="R1052">
            <v>491.72715000000005</v>
          </cell>
          <cell r="S1052">
            <v>506.47896450000007</v>
          </cell>
          <cell r="U1052">
            <v>582.45080917500002</v>
          </cell>
          <cell r="V1052">
            <v>669.81843055125</v>
          </cell>
          <cell r="W1052">
            <v>770.29119513393744</v>
          </cell>
        </row>
        <row r="1053">
          <cell r="A1053" t="str">
            <v>97#2</v>
          </cell>
          <cell r="B1053">
            <v>450</v>
          </cell>
          <cell r="C1053">
            <v>225</v>
          </cell>
          <cell r="D1053">
            <v>450</v>
          </cell>
          <cell r="E1053">
            <v>450</v>
          </cell>
          <cell r="F1053">
            <v>450</v>
          </cell>
          <cell r="G1053">
            <v>337.5</v>
          </cell>
          <cell r="H1053">
            <v>450</v>
          </cell>
          <cell r="I1053">
            <v>450</v>
          </cell>
          <cell r="J1053">
            <v>450</v>
          </cell>
          <cell r="K1053">
            <v>450</v>
          </cell>
          <cell r="L1053">
            <v>450</v>
          </cell>
          <cell r="M1053">
            <v>450</v>
          </cell>
          <cell r="N1053">
            <v>450</v>
          </cell>
          <cell r="P1053">
            <v>463.5</v>
          </cell>
          <cell r="Q1053">
            <v>477.40500000000003</v>
          </cell>
          <cell r="R1053">
            <v>491.72715000000005</v>
          </cell>
          <cell r="S1053">
            <v>506.47896450000007</v>
          </cell>
          <cell r="U1053">
            <v>582.45080917500002</v>
          </cell>
          <cell r="V1053">
            <v>669.81843055125</v>
          </cell>
          <cell r="W1053">
            <v>770.29119513393744</v>
          </cell>
        </row>
        <row r="1054">
          <cell r="A1054" t="str">
            <v>98#1</v>
          </cell>
          <cell r="B1054">
            <v>450</v>
          </cell>
          <cell r="C1054">
            <v>225</v>
          </cell>
          <cell r="D1054">
            <v>450</v>
          </cell>
          <cell r="E1054">
            <v>450</v>
          </cell>
          <cell r="F1054">
            <v>450</v>
          </cell>
          <cell r="G1054">
            <v>337.5</v>
          </cell>
          <cell r="H1054">
            <v>450</v>
          </cell>
          <cell r="I1054">
            <v>450</v>
          </cell>
          <cell r="J1054">
            <v>450</v>
          </cell>
          <cell r="K1054">
            <v>450</v>
          </cell>
          <cell r="L1054">
            <v>450</v>
          </cell>
          <cell r="M1054">
            <v>450</v>
          </cell>
          <cell r="N1054">
            <v>450</v>
          </cell>
          <cell r="P1054">
            <v>463.5</v>
          </cell>
          <cell r="Q1054">
            <v>477.40500000000003</v>
          </cell>
          <cell r="R1054">
            <v>491.72715000000005</v>
          </cell>
          <cell r="S1054">
            <v>506.47896450000007</v>
          </cell>
          <cell r="U1054">
            <v>582.45080917500002</v>
          </cell>
          <cell r="V1054">
            <v>669.81843055125</v>
          </cell>
          <cell r="W1054">
            <v>770.29119513393744</v>
          </cell>
        </row>
        <row r="1055">
          <cell r="A1055" t="str">
            <v>98#2</v>
          </cell>
          <cell r="B1055">
            <v>450</v>
          </cell>
          <cell r="C1055">
            <v>225</v>
          </cell>
          <cell r="D1055">
            <v>450</v>
          </cell>
          <cell r="E1055">
            <v>450</v>
          </cell>
          <cell r="F1055">
            <v>450</v>
          </cell>
          <cell r="G1055">
            <v>337.5</v>
          </cell>
          <cell r="H1055">
            <v>450</v>
          </cell>
          <cell r="I1055">
            <v>450</v>
          </cell>
          <cell r="J1055">
            <v>450</v>
          </cell>
          <cell r="K1055">
            <v>450</v>
          </cell>
          <cell r="L1055">
            <v>450</v>
          </cell>
          <cell r="M1055">
            <v>450</v>
          </cell>
          <cell r="N1055">
            <v>450</v>
          </cell>
          <cell r="P1055">
            <v>463.5</v>
          </cell>
          <cell r="Q1055">
            <v>477.40500000000003</v>
          </cell>
          <cell r="R1055">
            <v>491.72715000000005</v>
          </cell>
          <cell r="S1055">
            <v>506.47896450000007</v>
          </cell>
          <cell r="U1055">
            <v>582.45080917500002</v>
          </cell>
          <cell r="V1055">
            <v>669.81843055125</v>
          </cell>
          <cell r="W1055">
            <v>770.29119513393744</v>
          </cell>
        </row>
        <row r="1056">
          <cell r="A1056" t="str">
            <v>Mos</v>
          </cell>
        </row>
        <row r="1057">
          <cell r="A1057" t="str">
            <v>Con</v>
          </cell>
        </row>
        <row r="1059">
          <cell r="A1059" t="str">
            <v>BC Average international tariff</v>
          </cell>
        </row>
        <row r="1060">
          <cell r="B1060">
            <v>35765</v>
          </cell>
          <cell r="C1060">
            <v>35796</v>
          </cell>
          <cell r="D1060">
            <v>35827</v>
          </cell>
          <cell r="E1060">
            <v>35855</v>
          </cell>
          <cell r="F1060">
            <v>35886</v>
          </cell>
          <cell r="G1060">
            <v>35916</v>
          </cell>
          <cell r="H1060">
            <v>35947</v>
          </cell>
          <cell r="I1060">
            <v>35977</v>
          </cell>
          <cell r="J1060">
            <v>36008</v>
          </cell>
          <cell r="K1060">
            <v>36039</v>
          </cell>
          <cell r="L1060">
            <v>36069</v>
          </cell>
          <cell r="M1060">
            <v>36100</v>
          </cell>
          <cell r="N1060">
            <v>36130</v>
          </cell>
          <cell r="O1060" t="str">
            <v>Total 98</v>
          </cell>
          <cell r="P1060" t="str">
            <v>Q1-99</v>
          </cell>
          <cell r="Q1060" t="str">
            <v>Q2-99</v>
          </cell>
          <cell r="R1060" t="str">
            <v>Q3-99</v>
          </cell>
          <cell r="S1060" t="str">
            <v>Q4-99</v>
          </cell>
          <cell r="T1060" t="str">
            <v>Total 99</v>
          </cell>
          <cell r="U1060">
            <v>2000</v>
          </cell>
          <cell r="V1060">
            <v>2001</v>
          </cell>
          <cell r="W1060">
            <v>2002</v>
          </cell>
        </row>
        <row r="1061">
          <cell r="A1061" t="str">
            <v>Ark</v>
          </cell>
          <cell r="C1061">
            <v>0.52060000000000017</v>
          </cell>
          <cell r="D1061">
            <v>0.52060000000000017</v>
          </cell>
          <cell r="E1061">
            <v>0.52060000000000017</v>
          </cell>
          <cell r="F1061">
            <v>0.52060000000000017</v>
          </cell>
          <cell r="G1061">
            <v>0.52060000000000017</v>
          </cell>
          <cell r="H1061">
            <v>0.52060000000000017</v>
          </cell>
          <cell r="I1061">
            <v>0.52060000000000017</v>
          </cell>
          <cell r="J1061">
            <v>0.52060000000000017</v>
          </cell>
          <cell r="K1061">
            <v>0.52060000000000017</v>
          </cell>
          <cell r="L1061">
            <v>0.52060000000000017</v>
          </cell>
          <cell r="M1061">
            <v>0.52060000000000017</v>
          </cell>
          <cell r="N1061">
            <v>0.52060000000000017</v>
          </cell>
          <cell r="P1061">
            <v>0.52060000000000017</v>
          </cell>
          <cell r="Q1061">
            <v>0.52060000000000017</v>
          </cell>
          <cell r="R1061">
            <v>0.52060000000000017</v>
          </cell>
          <cell r="S1061">
            <v>0.52060000000000017</v>
          </cell>
          <cell r="U1061">
            <v>0.49457000000000012</v>
          </cell>
          <cell r="V1061">
            <v>0.46984150000000008</v>
          </cell>
          <cell r="W1061">
            <v>0.44634942500000008</v>
          </cell>
        </row>
        <row r="1062">
          <cell r="A1062" t="str">
            <v>Eka</v>
          </cell>
          <cell r="C1062">
            <v>0.52060000000000017</v>
          </cell>
          <cell r="D1062">
            <v>0.52060000000000017</v>
          </cell>
          <cell r="E1062">
            <v>0.52060000000000017</v>
          </cell>
          <cell r="F1062">
            <v>0.52060000000000017</v>
          </cell>
          <cell r="G1062">
            <v>0.52060000000000017</v>
          </cell>
          <cell r="H1062">
            <v>0.52060000000000017</v>
          </cell>
          <cell r="I1062">
            <v>0.52060000000000017</v>
          </cell>
          <cell r="J1062">
            <v>0.52060000000000017</v>
          </cell>
          <cell r="K1062">
            <v>0.52060000000000017</v>
          </cell>
          <cell r="L1062">
            <v>0.52060000000000017</v>
          </cell>
          <cell r="M1062">
            <v>0.52060000000000017</v>
          </cell>
          <cell r="N1062">
            <v>0.52060000000000017</v>
          </cell>
          <cell r="P1062">
            <v>0.52060000000000017</v>
          </cell>
          <cell r="Q1062">
            <v>0.52060000000000017</v>
          </cell>
          <cell r="R1062">
            <v>0.52060000000000017</v>
          </cell>
          <cell r="S1062">
            <v>0.52060000000000017</v>
          </cell>
          <cell r="U1062">
            <v>0.49457000000000012</v>
          </cell>
          <cell r="V1062">
            <v>0.46984150000000008</v>
          </cell>
          <cell r="W1062">
            <v>0.44634942500000008</v>
          </cell>
        </row>
        <row r="1063">
          <cell r="A1063" t="str">
            <v>Irk</v>
          </cell>
          <cell r="C1063">
            <v>0.58010000000000017</v>
          </cell>
          <cell r="D1063">
            <v>0.58010000000000017</v>
          </cell>
          <cell r="E1063">
            <v>0.58010000000000017</v>
          </cell>
          <cell r="F1063">
            <v>0.58010000000000017</v>
          </cell>
          <cell r="G1063">
            <v>0.58010000000000017</v>
          </cell>
          <cell r="H1063">
            <v>0.58010000000000017</v>
          </cell>
          <cell r="I1063">
            <v>0.58010000000000017</v>
          </cell>
          <cell r="J1063">
            <v>0.58010000000000017</v>
          </cell>
          <cell r="K1063">
            <v>0.58010000000000017</v>
          </cell>
          <cell r="L1063">
            <v>0.58010000000000017</v>
          </cell>
          <cell r="M1063">
            <v>0.58010000000000017</v>
          </cell>
          <cell r="N1063">
            <v>0.58010000000000017</v>
          </cell>
          <cell r="P1063">
            <v>0.58010000000000017</v>
          </cell>
          <cell r="Q1063">
            <v>0.58010000000000017</v>
          </cell>
          <cell r="R1063">
            <v>0.58010000000000017</v>
          </cell>
          <cell r="S1063">
            <v>0.58010000000000017</v>
          </cell>
          <cell r="U1063">
            <v>0.55109500000000011</v>
          </cell>
          <cell r="V1063">
            <v>0.52354025000000004</v>
          </cell>
          <cell r="W1063">
            <v>0.4973632375</v>
          </cell>
        </row>
        <row r="1064">
          <cell r="A1064" t="str">
            <v>Kha</v>
          </cell>
          <cell r="C1064">
            <v>0.58579999999999999</v>
          </cell>
          <cell r="D1064">
            <v>0.58579999999999999</v>
          </cell>
          <cell r="E1064">
            <v>0.58579999999999999</v>
          </cell>
          <cell r="F1064">
            <v>0.58579999999999999</v>
          </cell>
          <cell r="G1064">
            <v>0.58579999999999999</v>
          </cell>
          <cell r="H1064">
            <v>0.58579999999999999</v>
          </cell>
          <cell r="I1064">
            <v>0.58579999999999999</v>
          </cell>
          <cell r="J1064">
            <v>0.58579999999999999</v>
          </cell>
          <cell r="K1064">
            <v>0.58579999999999999</v>
          </cell>
          <cell r="L1064">
            <v>0.58579999999999999</v>
          </cell>
          <cell r="M1064">
            <v>0.58579999999999999</v>
          </cell>
          <cell r="N1064">
            <v>0.58579999999999999</v>
          </cell>
          <cell r="P1064">
            <v>0.58579999999999999</v>
          </cell>
          <cell r="Q1064">
            <v>0.58579999999999999</v>
          </cell>
          <cell r="R1064">
            <v>0.58579999999999999</v>
          </cell>
          <cell r="S1064">
            <v>0.58579999999999999</v>
          </cell>
          <cell r="U1064">
            <v>0.55650999999999995</v>
          </cell>
          <cell r="V1064">
            <v>0.52868449999999989</v>
          </cell>
          <cell r="W1064">
            <v>0.50225027499999986</v>
          </cell>
        </row>
        <row r="1065">
          <cell r="A1065" t="str">
            <v>Kra</v>
          </cell>
          <cell r="C1065">
            <v>0.52060000000000017</v>
          </cell>
          <cell r="D1065">
            <v>0.52060000000000017</v>
          </cell>
          <cell r="E1065">
            <v>0.52060000000000017</v>
          </cell>
          <cell r="F1065">
            <v>0.52060000000000017</v>
          </cell>
          <cell r="G1065">
            <v>0.52060000000000017</v>
          </cell>
          <cell r="H1065">
            <v>0.52060000000000017</v>
          </cell>
          <cell r="I1065">
            <v>0.52060000000000017</v>
          </cell>
          <cell r="J1065">
            <v>0.52060000000000017</v>
          </cell>
          <cell r="K1065">
            <v>0.52060000000000017</v>
          </cell>
          <cell r="L1065">
            <v>0.52060000000000017</v>
          </cell>
          <cell r="M1065">
            <v>0.52060000000000017</v>
          </cell>
          <cell r="N1065">
            <v>0.52060000000000017</v>
          </cell>
          <cell r="P1065">
            <v>0.52060000000000017</v>
          </cell>
          <cell r="Q1065">
            <v>0.52060000000000017</v>
          </cell>
          <cell r="R1065">
            <v>0.52060000000000017</v>
          </cell>
          <cell r="S1065">
            <v>0.52060000000000017</v>
          </cell>
          <cell r="U1065">
            <v>0.49457000000000012</v>
          </cell>
          <cell r="V1065">
            <v>0.46984150000000008</v>
          </cell>
          <cell r="W1065">
            <v>0.44634942500000008</v>
          </cell>
        </row>
        <row r="1066">
          <cell r="A1066" t="str">
            <v>Niz</v>
          </cell>
          <cell r="C1066">
            <v>0.52060000000000017</v>
          </cell>
          <cell r="D1066">
            <v>0.52060000000000017</v>
          </cell>
          <cell r="E1066">
            <v>0.52060000000000017</v>
          </cell>
          <cell r="F1066">
            <v>0.52060000000000017</v>
          </cell>
          <cell r="G1066">
            <v>0.52060000000000017</v>
          </cell>
          <cell r="H1066">
            <v>0.52060000000000017</v>
          </cell>
          <cell r="I1066">
            <v>0.52060000000000017</v>
          </cell>
          <cell r="J1066">
            <v>0.52060000000000017</v>
          </cell>
          <cell r="K1066">
            <v>0.52060000000000017</v>
          </cell>
          <cell r="L1066">
            <v>0.52060000000000017</v>
          </cell>
          <cell r="M1066">
            <v>0.52060000000000017</v>
          </cell>
          <cell r="N1066">
            <v>0.52060000000000017</v>
          </cell>
          <cell r="P1066">
            <v>0.52060000000000017</v>
          </cell>
          <cell r="Q1066">
            <v>0.52060000000000017</v>
          </cell>
          <cell r="R1066">
            <v>0.52060000000000017</v>
          </cell>
          <cell r="S1066">
            <v>0.52060000000000017</v>
          </cell>
          <cell r="U1066">
            <v>0.49457000000000012</v>
          </cell>
          <cell r="V1066">
            <v>0.46984150000000008</v>
          </cell>
          <cell r="W1066">
            <v>0.44634942500000008</v>
          </cell>
        </row>
        <row r="1067">
          <cell r="A1067" t="str">
            <v>Nov</v>
          </cell>
          <cell r="C1067">
            <v>0.54</v>
          </cell>
          <cell r="D1067">
            <v>0.54</v>
          </cell>
          <cell r="E1067">
            <v>0.54</v>
          </cell>
          <cell r="F1067">
            <v>0.54</v>
          </cell>
          <cell r="G1067">
            <v>0.54</v>
          </cell>
          <cell r="H1067">
            <v>0.54</v>
          </cell>
          <cell r="I1067">
            <v>0.54</v>
          </cell>
          <cell r="J1067">
            <v>0.54</v>
          </cell>
          <cell r="K1067">
            <v>0.54</v>
          </cell>
          <cell r="L1067">
            <v>0.54</v>
          </cell>
          <cell r="M1067">
            <v>0.54</v>
          </cell>
          <cell r="N1067">
            <v>0.54</v>
          </cell>
          <cell r="P1067">
            <v>0.54</v>
          </cell>
          <cell r="Q1067">
            <v>0.54</v>
          </cell>
          <cell r="R1067">
            <v>0.54</v>
          </cell>
          <cell r="S1067">
            <v>0.54</v>
          </cell>
          <cell r="U1067">
            <v>0.51300000000000001</v>
          </cell>
          <cell r="V1067">
            <v>0.48735000000000001</v>
          </cell>
          <cell r="W1067">
            <v>0.46298249999999996</v>
          </cell>
        </row>
        <row r="1068">
          <cell r="A1068" t="str">
            <v>Syk</v>
          </cell>
          <cell r="C1068">
            <v>0.7846373000000002</v>
          </cell>
          <cell r="D1068">
            <v>0.7846373000000002</v>
          </cell>
          <cell r="E1068">
            <v>0.7846373000000002</v>
          </cell>
          <cell r="F1068">
            <v>0.7846373000000002</v>
          </cell>
          <cell r="G1068">
            <v>0.7846373000000002</v>
          </cell>
          <cell r="H1068">
            <v>0.7846373000000002</v>
          </cell>
          <cell r="I1068">
            <v>0.7846373000000002</v>
          </cell>
          <cell r="J1068">
            <v>0.7846373000000002</v>
          </cell>
          <cell r="K1068">
            <v>0.7846373000000002</v>
          </cell>
          <cell r="L1068">
            <v>0.7846373000000002</v>
          </cell>
          <cell r="M1068">
            <v>0.7846373000000002</v>
          </cell>
          <cell r="N1068">
            <v>0.7846373000000002</v>
          </cell>
          <cell r="P1068">
            <v>0.7846373000000002</v>
          </cell>
          <cell r="Q1068">
            <v>0.7846373000000002</v>
          </cell>
          <cell r="R1068">
            <v>0.7846373000000002</v>
          </cell>
          <cell r="S1068">
            <v>0.7846373000000002</v>
          </cell>
          <cell r="U1068">
            <v>0.74540543500000012</v>
          </cell>
          <cell r="V1068">
            <v>0.70813516325000003</v>
          </cell>
          <cell r="W1068">
            <v>0.67272840508749998</v>
          </cell>
        </row>
        <row r="1069">
          <cell r="A1069" t="str">
            <v>Tyu</v>
          </cell>
          <cell r="C1069">
            <v>0.52060000000000017</v>
          </cell>
          <cell r="D1069">
            <v>0.52060000000000017</v>
          </cell>
          <cell r="E1069">
            <v>0.52060000000000017</v>
          </cell>
          <cell r="F1069">
            <v>0.52060000000000017</v>
          </cell>
          <cell r="G1069">
            <v>0.52060000000000017</v>
          </cell>
          <cell r="H1069">
            <v>0.52060000000000017</v>
          </cell>
          <cell r="I1069">
            <v>0.52060000000000017</v>
          </cell>
          <cell r="J1069">
            <v>0.52060000000000017</v>
          </cell>
          <cell r="K1069">
            <v>0.52060000000000017</v>
          </cell>
          <cell r="L1069">
            <v>0.52060000000000017</v>
          </cell>
          <cell r="M1069">
            <v>0.52060000000000017</v>
          </cell>
          <cell r="N1069">
            <v>0.52060000000000017</v>
          </cell>
          <cell r="P1069">
            <v>0.52060000000000017</v>
          </cell>
          <cell r="Q1069">
            <v>0.52060000000000017</v>
          </cell>
          <cell r="R1069">
            <v>0.52060000000000017</v>
          </cell>
          <cell r="S1069">
            <v>0.52060000000000017</v>
          </cell>
          <cell r="U1069">
            <v>0.49457000000000012</v>
          </cell>
          <cell r="V1069">
            <v>0.46984150000000008</v>
          </cell>
          <cell r="W1069">
            <v>0.44634942500000008</v>
          </cell>
        </row>
        <row r="1070">
          <cell r="A1070" t="str">
            <v>Ufa</v>
          </cell>
          <cell r="C1070">
            <v>0.52060000000000017</v>
          </cell>
          <cell r="D1070">
            <v>0.52060000000000017</v>
          </cell>
          <cell r="E1070">
            <v>0.52060000000000017</v>
          </cell>
          <cell r="F1070">
            <v>0.52060000000000017</v>
          </cell>
          <cell r="G1070">
            <v>0.52060000000000017</v>
          </cell>
          <cell r="H1070">
            <v>0.52060000000000017</v>
          </cell>
          <cell r="I1070">
            <v>0.52060000000000017</v>
          </cell>
          <cell r="J1070">
            <v>0.52060000000000017</v>
          </cell>
          <cell r="K1070">
            <v>0.52060000000000017</v>
          </cell>
          <cell r="L1070">
            <v>0.52060000000000017</v>
          </cell>
          <cell r="M1070">
            <v>0.52060000000000017</v>
          </cell>
          <cell r="N1070">
            <v>0.52060000000000017</v>
          </cell>
          <cell r="P1070">
            <v>0.52060000000000017</v>
          </cell>
          <cell r="Q1070">
            <v>0.52060000000000017</v>
          </cell>
          <cell r="R1070">
            <v>0.52060000000000017</v>
          </cell>
          <cell r="S1070">
            <v>0.52060000000000017</v>
          </cell>
          <cell r="U1070">
            <v>0.49457000000000012</v>
          </cell>
          <cell r="V1070">
            <v>0.46984150000000008</v>
          </cell>
          <cell r="W1070">
            <v>0.44634942500000008</v>
          </cell>
        </row>
        <row r="1071">
          <cell r="A1071" t="str">
            <v>Vla</v>
          </cell>
          <cell r="C1071">
            <v>0.53</v>
          </cell>
          <cell r="D1071">
            <v>0.53</v>
          </cell>
          <cell r="E1071">
            <v>0.53</v>
          </cell>
          <cell r="F1071">
            <v>0.53</v>
          </cell>
          <cell r="G1071">
            <v>0.53</v>
          </cell>
          <cell r="H1071">
            <v>0.53</v>
          </cell>
          <cell r="I1071">
            <v>0.53</v>
          </cell>
          <cell r="J1071">
            <v>0.53</v>
          </cell>
          <cell r="K1071">
            <v>0.53</v>
          </cell>
          <cell r="L1071">
            <v>0.53</v>
          </cell>
          <cell r="M1071">
            <v>0.53</v>
          </cell>
          <cell r="N1071">
            <v>0.53</v>
          </cell>
          <cell r="P1071">
            <v>0.53</v>
          </cell>
          <cell r="Q1071">
            <v>0.53</v>
          </cell>
          <cell r="R1071">
            <v>0.53</v>
          </cell>
          <cell r="S1071">
            <v>0.53</v>
          </cell>
          <cell r="U1071">
            <v>0.50349999999999995</v>
          </cell>
          <cell r="V1071">
            <v>0.47832499999999994</v>
          </cell>
          <cell r="W1071">
            <v>0.45440874999999992</v>
          </cell>
        </row>
        <row r="1072">
          <cell r="A1072" t="str">
            <v>Vol</v>
          </cell>
          <cell r="C1072">
            <v>0.52060000000000017</v>
          </cell>
          <cell r="D1072">
            <v>0.52060000000000017</v>
          </cell>
          <cell r="E1072">
            <v>0.52060000000000017</v>
          </cell>
          <cell r="F1072">
            <v>0.52060000000000017</v>
          </cell>
          <cell r="G1072">
            <v>0.52060000000000017</v>
          </cell>
          <cell r="H1072">
            <v>0.52060000000000017</v>
          </cell>
          <cell r="I1072">
            <v>0.52060000000000017</v>
          </cell>
          <cell r="J1072">
            <v>0.52060000000000017</v>
          </cell>
          <cell r="K1072">
            <v>0.52060000000000017</v>
          </cell>
          <cell r="L1072">
            <v>0.52060000000000017</v>
          </cell>
          <cell r="M1072">
            <v>0.52060000000000017</v>
          </cell>
          <cell r="N1072">
            <v>0.52060000000000017</v>
          </cell>
          <cell r="P1072">
            <v>0.52060000000000017</v>
          </cell>
          <cell r="Q1072">
            <v>0.52060000000000017</v>
          </cell>
          <cell r="R1072">
            <v>0.52060000000000017</v>
          </cell>
          <cell r="S1072">
            <v>0.52060000000000017</v>
          </cell>
          <cell r="U1072">
            <v>0.49457000000000012</v>
          </cell>
          <cell r="V1072">
            <v>0.46984150000000008</v>
          </cell>
          <cell r="W1072">
            <v>0.44634942500000008</v>
          </cell>
        </row>
        <row r="1073">
          <cell r="A1073" t="str">
            <v>Vor</v>
          </cell>
          <cell r="C1073">
            <v>0.52060000000000017</v>
          </cell>
          <cell r="D1073">
            <v>0.52060000000000017</v>
          </cell>
          <cell r="E1073">
            <v>0.52060000000000017</v>
          </cell>
          <cell r="F1073">
            <v>0.52060000000000017</v>
          </cell>
          <cell r="G1073">
            <v>0.52060000000000017</v>
          </cell>
          <cell r="H1073">
            <v>0.52060000000000017</v>
          </cell>
          <cell r="I1073">
            <v>0.52060000000000017</v>
          </cell>
          <cell r="J1073">
            <v>0.52060000000000017</v>
          </cell>
          <cell r="K1073">
            <v>0.52060000000000017</v>
          </cell>
          <cell r="L1073">
            <v>0.52060000000000017</v>
          </cell>
          <cell r="M1073">
            <v>0.52060000000000017</v>
          </cell>
          <cell r="N1073">
            <v>0.52060000000000017</v>
          </cell>
          <cell r="P1073">
            <v>0.52060000000000017</v>
          </cell>
          <cell r="Q1073">
            <v>0.52060000000000017</v>
          </cell>
          <cell r="R1073">
            <v>0.52060000000000017</v>
          </cell>
          <cell r="S1073">
            <v>0.52060000000000017</v>
          </cell>
          <cell r="U1073">
            <v>0.49457000000000012</v>
          </cell>
          <cell r="V1073">
            <v>0.46984150000000008</v>
          </cell>
          <cell r="W1073">
            <v>0.44634942500000008</v>
          </cell>
        </row>
        <row r="1074">
          <cell r="A1074" t="str">
            <v>97#1</v>
          </cell>
          <cell r="C1074">
            <v>0.52060000000000017</v>
          </cell>
          <cell r="D1074">
            <v>0.52060000000000017</v>
          </cell>
          <cell r="E1074">
            <v>0.52060000000000017</v>
          </cell>
          <cell r="F1074">
            <v>0.52060000000000017</v>
          </cell>
          <cell r="G1074">
            <v>0.52060000000000017</v>
          </cell>
          <cell r="H1074">
            <v>0.52060000000000017</v>
          </cell>
          <cell r="I1074">
            <v>0.52060000000000017</v>
          </cell>
          <cell r="J1074">
            <v>0.52060000000000017</v>
          </cell>
          <cell r="K1074">
            <v>0.52060000000000017</v>
          </cell>
          <cell r="L1074">
            <v>0.52060000000000017</v>
          </cell>
          <cell r="M1074">
            <v>0.52060000000000017</v>
          </cell>
          <cell r="N1074">
            <v>0.52060000000000017</v>
          </cell>
          <cell r="P1074">
            <v>0.52060000000000017</v>
          </cell>
          <cell r="Q1074">
            <v>0.52060000000000017</v>
          </cell>
          <cell r="R1074">
            <v>0.52060000000000017</v>
          </cell>
          <cell r="S1074">
            <v>0.52060000000000017</v>
          </cell>
          <cell r="U1074">
            <v>0.49457000000000012</v>
          </cell>
          <cell r="V1074">
            <v>0.46984150000000008</v>
          </cell>
          <cell r="W1074">
            <v>0.44634942500000008</v>
          </cell>
        </row>
        <row r="1075">
          <cell r="A1075" t="str">
            <v>97#2</v>
          </cell>
          <cell r="C1075">
            <v>0.52060000000000017</v>
          </cell>
          <cell r="D1075">
            <v>0.52060000000000017</v>
          </cell>
          <cell r="E1075">
            <v>0.52060000000000017</v>
          </cell>
          <cell r="F1075">
            <v>0.52060000000000017</v>
          </cell>
          <cell r="G1075">
            <v>0.52060000000000017</v>
          </cell>
          <cell r="H1075">
            <v>0.52060000000000017</v>
          </cell>
          <cell r="I1075">
            <v>0.52060000000000017</v>
          </cell>
          <cell r="J1075">
            <v>0.52060000000000017</v>
          </cell>
          <cell r="K1075">
            <v>0.52060000000000017</v>
          </cell>
          <cell r="L1075">
            <v>0.52060000000000017</v>
          </cell>
          <cell r="M1075">
            <v>0.52060000000000017</v>
          </cell>
          <cell r="N1075">
            <v>0.52060000000000017</v>
          </cell>
          <cell r="P1075">
            <v>0.52060000000000017</v>
          </cell>
          <cell r="Q1075">
            <v>0.52060000000000017</v>
          </cell>
          <cell r="R1075">
            <v>0.52060000000000017</v>
          </cell>
          <cell r="S1075">
            <v>0.52060000000000017</v>
          </cell>
          <cell r="U1075">
            <v>0.49457000000000012</v>
          </cell>
          <cell r="V1075">
            <v>0.46984150000000008</v>
          </cell>
          <cell r="W1075">
            <v>0.44634942500000008</v>
          </cell>
        </row>
        <row r="1076">
          <cell r="A1076" t="str">
            <v>98#1</v>
          </cell>
          <cell r="C1076">
            <v>0.52060000000000017</v>
          </cell>
          <cell r="D1076">
            <v>0.52060000000000017</v>
          </cell>
          <cell r="E1076">
            <v>0.52060000000000017</v>
          </cell>
          <cell r="F1076">
            <v>0.52060000000000017</v>
          </cell>
          <cell r="G1076">
            <v>0.52060000000000017</v>
          </cell>
          <cell r="H1076">
            <v>0.52060000000000017</v>
          </cell>
          <cell r="I1076">
            <v>0.52060000000000017</v>
          </cell>
          <cell r="J1076">
            <v>0.52060000000000017</v>
          </cell>
          <cell r="K1076">
            <v>0.52060000000000017</v>
          </cell>
          <cell r="L1076">
            <v>0.52060000000000017</v>
          </cell>
          <cell r="M1076">
            <v>0.52060000000000017</v>
          </cell>
          <cell r="N1076">
            <v>0.52060000000000017</v>
          </cell>
          <cell r="P1076">
            <v>0.52060000000000017</v>
          </cell>
          <cell r="Q1076">
            <v>0.52060000000000017</v>
          </cell>
          <cell r="R1076">
            <v>0.52060000000000017</v>
          </cell>
          <cell r="S1076">
            <v>0.52060000000000017</v>
          </cell>
          <cell r="U1076">
            <v>0.49457000000000012</v>
          </cell>
          <cell r="V1076">
            <v>0.46984150000000008</v>
          </cell>
          <cell r="W1076">
            <v>0.44634942500000008</v>
          </cell>
        </row>
        <row r="1077">
          <cell r="A1077" t="str">
            <v>98#2</v>
          </cell>
          <cell r="C1077">
            <v>0.52060000000000017</v>
          </cell>
          <cell r="D1077">
            <v>0.52060000000000017</v>
          </cell>
          <cell r="E1077">
            <v>0.52060000000000017</v>
          </cell>
          <cell r="F1077">
            <v>0.52060000000000017</v>
          </cell>
          <cell r="G1077">
            <v>0.52060000000000017</v>
          </cell>
          <cell r="H1077">
            <v>0.52060000000000017</v>
          </cell>
          <cell r="I1077">
            <v>0.52060000000000017</v>
          </cell>
          <cell r="J1077">
            <v>0.52060000000000017</v>
          </cell>
          <cell r="K1077">
            <v>0.52060000000000017</v>
          </cell>
          <cell r="L1077">
            <v>0.52060000000000017</v>
          </cell>
          <cell r="M1077">
            <v>0.52060000000000017</v>
          </cell>
          <cell r="N1077">
            <v>0.52060000000000017</v>
          </cell>
          <cell r="P1077">
            <v>0.52060000000000017</v>
          </cell>
          <cell r="Q1077">
            <v>0.52060000000000017</v>
          </cell>
          <cell r="R1077">
            <v>0.52060000000000017</v>
          </cell>
          <cell r="S1077">
            <v>0.52060000000000017</v>
          </cell>
          <cell r="U1077">
            <v>0.49457000000000012</v>
          </cell>
          <cell r="V1077">
            <v>0.46984150000000008</v>
          </cell>
          <cell r="W1077">
            <v>0.44634942500000008</v>
          </cell>
        </row>
        <row r="1078">
          <cell r="A1078" t="str">
            <v>Mos</v>
          </cell>
        </row>
        <row r="1079">
          <cell r="A1079" t="str">
            <v>Con</v>
          </cell>
          <cell r="C1079">
            <v>2</v>
          </cell>
          <cell r="D1079">
            <v>1.9961538461538462</v>
          </cell>
          <cell r="E1079">
            <v>1.9961538461538462</v>
          </cell>
          <cell r="F1079">
            <v>1.9961538461538462</v>
          </cell>
          <cell r="G1079">
            <v>1.9961538461538462</v>
          </cell>
          <cell r="H1079">
            <v>1.9961538461538462</v>
          </cell>
          <cell r="I1079">
            <v>1.9961538461538462</v>
          </cell>
          <cell r="J1079">
            <v>1.9961538461538462</v>
          </cell>
          <cell r="K1079">
            <v>1.9961538461538462</v>
          </cell>
          <cell r="L1079">
            <v>1.9961538461538462</v>
          </cell>
          <cell r="M1079">
            <v>1.9961538461538462</v>
          </cell>
          <cell r="N1079">
            <v>1.9961538461538462</v>
          </cell>
          <cell r="P1079">
            <v>1.9961538461538462</v>
          </cell>
          <cell r="Q1079">
            <v>1.9961538461538462</v>
          </cell>
          <cell r="R1079">
            <v>1.9961538461538462</v>
          </cell>
          <cell r="S1079">
            <v>1.9961538461538462</v>
          </cell>
          <cell r="U1079">
            <v>1.8963461538461537</v>
          </cell>
          <cell r="V1079">
            <v>1.8015288461538459</v>
          </cell>
          <cell r="W1079">
            <v>1.7114524038461536</v>
          </cell>
        </row>
        <row r="1081">
          <cell r="A1081" t="str">
            <v xml:space="preserve">Swtch Number of new lines </v>
          </cell>
        </row>
        <row r="1082">
          <cell r="B1082">
            <v>35765</v>
          </cell>
          <cell r="C1082">
            <v>35796</v>
          </cell>
          <cell r="D1082">
            <v>35827</v>
          </cell>
          <cell r="E1082">
            <v>35855</v>
          </cell>
          <cell r="F1082">
            <v>35886</v>
          </cell>
          <cell r="G1082">
            <v>35916</v>
          </cell>
          <cell r="H1082">
            <v>35947</v>
          </cell>
          <cell r="I1082">
            <v>35977</v>
          </cell>
          <cell r="J1082">
            <v>36008</v>
          </cell>
          <cell r="K1082">
            <v>36039</v>
          </cell>
          <cell r="L1082">
            <v>36069</v>
          </cell>
          <cell r="M1082">
            <v>36100</v>
          </cell>
          <cell r="N1082">
            <v>36130</v>
          </cell>
          <cell r="O1082" t="str">
            <v>Total 98</v>
          </cell>
          <cell r="P1082" t="str">
            <v>Q1-99</v>
          </cell>
          <cell r="Q1082" t="str">
            <v>Q2-99</v>
          </cell>
          <cell r="R1082" t="str">
            <v>Q3-99</v>
          </cell>
          <cell r="S1082" t="str">
            <v>Q4-99</v>
          </cell>
          <cell r="T1082" t="str">
            <v>Total 99</v>
          </cell>
          <cell r="U1082">
            <v>2000</v>
          </cell>
          <cell r="V1082">
            <v>2001</v>
          </cell>
          <cell r="W1082">
            <v>2002</v>
          </cell>
        </row>
        <row r="1083">
          <cell r="A1083" t="str">
            <v>Ark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1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1</v>
          </cell>
          <cell r="T1083">
            <v>0</v>
          </cell>
        </row>
        <row r="1084">
          <cell r="A1084" t="str">
            <v>Eka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T1084">
            <v>0</v>
          </cell>
        </row>
        <row r="1085">
          <cell r="A1085" t="str">
            <v>Irk</v>
          </cell>
          <cell r="B1085">
            <v>1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T1085">
            <v>0</v>
          </cell>
        </row>
        <row r="1086">
          <cell r="A1086" t="str">
            <v>Kha</v>
          </cell>
          <cell r="B1086">
            <v>1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T1086">
            <v>0</v>
          </cell>
        </row>
        <row r="1087">
          <cell r="A1087" t="str">
            <v>Kra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1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1</v>
          </cell>
          <cell r="T1087">
            <v>0</v>
          </cell>
        </row>
        <row r="1088">
          <cell r="A1088" t="str">
            <v>Niz</v>
          </cell>
          <cell r="B1088">
            <v>1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T1088">
            <v>0</v>
          </cell>
        </row>
        <row r="1089">
          <cell r="A1089" t="str">
            <v>Nov</v>
          </cell>
          <cell r="B1089">
            <v>1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T1089">
            <v>0</v>
          </cell>
        </row>
        <row r="1090">
          <cell r="A1090" t="str">
            <v>Syk</v>
          </cell>
          <cell r="B1090">
            <v>1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T1090">
            <v>0</v>
          </cell>
        </row>
        <row r="1091">
          <cell r="A1091" t="str">
            <v>Tyu</v>
          </cell>
          <cell r="B1091">
            <v>1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T1091">
            <v>0</v>
          </cell>
        </row>
        <row r="1092">
          <cell r="A1092" t="str">
            <v>Ufa</v>
          </cell>
          <cell r="B1092">
            <v>1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T1092">
            <v>0</v>
          </cell>
        </row>
        <row r="1093">
          <cell r="A1093" t="str">
            <v>Vla</v>
          </cell>
          <cell r="B1093">
            <v>1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T1093">
            <v>0</v>
          </cell>
        </row>
        <row r="1094">
          <cell r="A1094" t="str">
            <v>Vol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1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1</v>
          </cell>
          <cell r="T1094">
            <v>0</v>
          </cell>
        </row>
        <row r="1095">
          <cell r="A1095" t="str">
            <v>Vor</v>
          </cell>
          <cell r="B1095">
            <v>1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T1095">
            <v>0</v>
          </cell>
        </row>
        <row r="1096">
          <cell r="A1096" t="str">
            <v>97#1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1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1</v>
          </cell>
          <cell r="S1096">
            <v>1</v>
          </cell>
          <cell r="T1096">
            <v>1</v>
          </cell>
        </row>
        <row r="1097">
          <cell r="A1097" t="str">
            <v>97#2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T1097">
            <v>0</v>
          </cell>
          <cell r="U1097">
            <v>1</v>
          </cell>
        </row>
        <row r="1098">
          <cell r="A1098" t="str">
            <v>98#1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>98#2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0">
          <cell r="A1100" t="str">
            <v>Mos</v>
          </cell>
          <cell r="O1100">
            <v>0</v>
          </cell>
          <cell r="T1100">
            <v>0</v>
          </cell>
        </row>
        <row r="1101">
          <cell r="A1101" t="str">
            <v>Con</v>
          </cell>
          <cell r="B1101">
            <v>9</v>
          </cell>
          <cell r="C1101">
            <v>0</v>
          </cell>
          <cell r="D1101">
            <v>0</v>
          </cell>
          <cell r="E1101">
            <v>0</v>
          </cell>
          <cell r="F1101">
            <v>1</v>
          </cell>
          <cell r="G1101">
            <v>1</v>
          </cell>
          <cell r="H1101">
            <v>2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4</v>
          </cell>
          <cell r="P1101">
            <v>0</v>
          </cell>
          <cell r="Q1101">
            <v>0</v>
          </cell>
          <cell r="R1101">
            <v>0</v>
          </cell>
          <cell r="S1101">
            <v>1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3">
          <cell r="A1103" t="str">
            <v>Swtch Number of intercity minutes per line</v>
          </cell>
        </row>
        <row r="1104">
          <cell r="B1104">
            <v>35765</v>
          </cell>
          <cell r="C1104">
            <v>35796</v>
          </cell>
          <cell r="D1104">
            <v>35827</v>
          </cell>
          <cell r="E1104">
            <v>35855</v>
          </cell>
          <cell r="F1104">
            <v>35886</v>
          </cell>
          <cell r="G1104">
            <v>35916</v>
          </cell>
          <cell r="H1104">
            <v>35947</v>
          </cell>
          <cell r="I1104">
            <v>35977</v>
          </cell>
          <cell r="J1104">
            <v>36008</v>
          </cell>
          <cell r="K1104">
            <v>36039</v>
          </cell>
          <cell r="L1104">
            <v>36069</v>
          </cell>
          <cell r="M1104">
            <v>36100</v>
          </cell>
          <cell r="N1104">
            <v>36130</v>
          </cell>
          <cell r="O1104" t="str">
            <v>Total 98</v>
          </cell>
          <cell r="P1104" t="str">
            <v>Q1-99</v>
          </cell>
          <cell r="Q1104" t="str">
            <v>Q2-99</v>
          </cell>
          <cell r="R1104" t="str">
            <v>Q3-99</v>
          </cell>
          <cell r="S1104" t="str">
            <v>Q4-99</v>
          </cell>
          <cell r="T1104" t="str">
            <v>Total 99</v>
          </cell>
          <cell r="U1104">
            <v>2000</v>
          </cell>
          <cell r="V1104">
            <v>2001</v>
          </cell>
          <cell r="W1104">
            <v>2002</v>
          </cell>
        </row>
        <row r="1105">
          <cell r="A1105" t="str">
            <v>Ark</v>
          </cell>
          <cell r="B1105">
            <v>50000</v>
          </cell>
          <cell r="C1105">
            <v>30000</v>
          </cell>
          <cell r="D1105">
            <v>50000</v>
          </cell>
          <cell r="E1105">
            <v>50000</v>
          </cell>
          <cell r="F1105">
            <v>50000</v>
          </cell>
          <cell r="G1105">
            <v>37500</v>
          </cell>
          <cell r="H1105">
            <v>50000</v>
          </cell>
          <cell r="I1105">
            <v>50000</v>
          </cell>
          <cell r="J1105">
            <v>50000</v>
          </cell>
          <cell r="K1105">
            <v>50000</v>
          </cell>
          <cell r="L1105">
            <v>50000</v>
          </cell>
          <cell r="M1105">
            <v>50000</v>
          </cell>
          <cell r="N1105">
            <v>50000</v>
          </cell>
          <cell r="P1105">
            <v>48000</v>
          </cell>
          <cell r="Q1105">
            <v>48000</v>
          </cell>
          <cell r="R1105">
            <v>48000</v>
          </cell>
          <cell r="S1105">
            <v>48000</v>
          </cell>
          <cell r="U1105">
            <v>52800.000000000007</v>
          </cell>
          <cell r="V1105">
            <v>58080.000000000015</v>
          </cell>
          <cell r="W1105">
            <v>63888.000000000022</v>
          </cell>
        </row>
        <row r="1106">
          <cell r="A1106" t="str">
            <v>Eka</v>
          </cell>
          <cell r="B1106">
            <v>32500</v>
          </cell>
          <cell r="C1106">
            <v>19500</v>
          </cell>
          <cell r="D1106">
            <v>32500</v>
          </cell>
          <cell r="E1106">
            <v>32500</v>
          </cell>
          <cell r="F1106">
            <v>32500</v>
          </cell>
          <cell r="G1106">
            <v>24375</v>
          </cell>
          <cell r="H1106">
            <v>32500</v>
          </cell>
          <cell r="I1106">
            <v>32500</v>
          </cell>
          <cell r="J1106">
            <v>32500</v>
          </cell>
          <cell r="K1106">
            <v>32500</v>
          </cell>
          <cell r="L1106">
            <v>32500</v>
          </cell>
          <cell r="M1106">
            <v>32500</v>
          </cell>
          <cell r="N1106">
            <v>32500</v>
          </cell>
          <cell r="P1106">
            <v>31200</v>
          </cell>
          <cell r="Q1106">
            <v>31200</v>
          </cell>
          <cell r="R1106">
            <v>31200</v>
          </cell>
          <cell r="S1106">
            <v>31200</v>
          </cell>
          <cell r="U1106">
            <v>34320</v>
          </cell>
          <cell r="V1106">
            <v>37752</v>
          </cell>
          <cell r="W1106">
            <v>41527.200000000004</v>
          </cell>
        </row>
        <row r="1107">
          <cell r="A1107" t="str">
            <v>Irk</v>
          </cell>
          <cell r="B1107">
            <v>120000</v>
          </cell>
          <cell r="C1107">
            <v>72000</v>
          </cell>
          <cell r="D1107">
            <v>120000</v>
          </cell>
          <cell r="E1107">
            <v>120000</v>
          </cell>
          <cell r="F1107">
            <v>120000</v>
          </cell>
          <cell r="G1107">
            <v>90000</v>
          </cell>
          <cell r="H1107">
            <v>120000</v>
          </cell>
          <cell r="I1107">
            <v>120000</v>
          </cell>
          <cell r="J1107">
            <v>120000</v>
          </cell>
          <cell r="K1107">
            <v>120000</v>
          </cell>
          <cell r="L1107">
            <v>120000</v>
          </cell>
          <cell r="M1107">
            <v>120000</v>
          </cell>
          <cell r="N1107">
            <v>120000</v>
          </cell>
          <cell r="P1107">
            <v>115200</v>
          </cell>
          <cell r="Q1107">
            <v>115200</v>
          </cell>
          <cell r="R1107">
            <v>115200</v>
          </cell>
          <cell r="S1107">
            <v>115200</v>
          </cell>
          <cell r="U1107">
            <v>126720.00000000001</v>
          </cell>
          <cell r="V1107">
            <v>139392.00000000003</v>
          </cell>
          <cell r="W1107">
            <v>153331.20000000004</v>
          </cell>
        </row>
        <row r="1108">
          <cell r="A1108" t="str">
            <v>Kha</v>
          </cell>
          <cell r="B1108">
            <v>135000</v>
          </cell>
          <cell r="C1108">
            <v>81000</v>
          </cell>
          <cell r="D1108">
            <v>135000</v>
          </cell>
          <cell r="E1108">
            <v>135000</v>
          </cell>
          <cell r="F1108">
            <v>135000</v>
          </cell>
          <cell r="G1108">
            <v>101250</v>
          </cell>
          <cell r="H1108">
            <v>135000</v>
          </cell>
          <cell r="I1108">
            <v>135000</v>
          </cell>
          <cell r="J1108">
            <v>135000</v>
          </cell>
          <cell r="K1108">
            <v>135000</v>
          </cell>
          <cell r="L1108">
            <v>135000</v>
          </cell>
          <cell r="M1108">
            <v>135000</v>
          </cell>
          <cell r="N1108">
            <v>135000</v>
          </cell>
          <cell r="P1108">
            <v>129600</v>
          </cell>
          <cell r="Q1108">
            <v>129600</v>
          </cell>
          <cell r="R1108">
            <v>129600</v>
          </cell>
          <cell r="S1108">
            <v>129600</v>
          </cell>
          <cell r="U1108">
            <v>142560</v>
          </cell>
          <cell r="V1108">
            <v>156816</v>
          </cell>
          <cell r="W1108">
            <v>172497.6</v>
          </cell>
        </row>
        <row r="1109">
          <cell r="A1109" t="str">
            <v>Kra</v>
          </cell>
          <cell r="B1109">
            <v>90000</v>
          </cell>
          <cell r="C1109">
            <v>54000</v>
          </cell>
          <cell r="D1109">
            <v>90000</v>
          </cell>
          <cell r="E1109">
            <v>90000</v>
          </cell>
          <cell r="F1109">
            <v>90000</v>
          </cell>
          <cell r="G1109">
            <v>67500</v>
          </cell>
          <cell r="H1109">
            <v>90000</v>
          </cell>
          <cell r="I1109">
            <v>90000</v>
          </cell>
          <cell r="J1109">
            <v>90000</v>
          </cell>
          <cell r="K1109">
            <v>90000</v>
          </cell>
          <cell r="L1109">
            <v>90000</v>
          </cell>
          <cell r="M1109">
            <v>90000</v>
          </cell>
          <cell r="N1109">
            <v>90000</v>
          </cell>
          <cell r="P1109">
            <v>86400</v>
          </cell>
          <cell r="Q1109">
            <v>86400</v>
          </cell>
          <cell r="R1109">
            <v>86400</v>
          </cell>
          <cell r="S1109">
            <v>86400</v>
          </cell>
          <cell r="U1109">
            <v>95040.000000000015</v>
          </cell>
          <cell r="V1109">
            <v>104544.00000000003</v>
          </cell>
          <cell r="W1109">
            <v>114998.40000000004</v>
          </cell>
        </row>
        <row r="1110">
          <cell r="A1110" t="str">
            <v>Niz</v>
          </cell>
          <cell r="B1110">
            <v>60000</v>
          </cell>
          <cell r="C1110">
            <v>36000</v>
          </cell>
          <cell r="D1110">
            <v>60000</v>
          </cell>
          <cell r="E1110">
            <v>60000</v>
          </cell>
          <cell r="F1110">
            <v>60000</v>
          </cell>
          <cell r="G1110">
            <v>45000</v>
          </cell>
          <cell r="H1110">
            <v>60000</v>
          </cell>
          <cell r="I1110">
            <v>60000</v>
          </cell>
          <cell r="J1110">
            <v>60000</v>
          </cell>
          <cell r="K1110">
            <v>60000</v>
          </cell>
          <cell r="L1110">
            <v>60000</v>
          </cell>
          <cell r="M1110">
            <v>60000</v>
          </cell>
          <cell r="N1110">
            <v>60000</v>
          </cell>
          <cell r="P1110">
            <v>57600</v>
          </cell>
          <cell r="Q1110">
            <v>57600</v>
          </cell>
          <cell r="R1110">
            <v>57600</v>
          </cell>
          <cell r="S1110">
            <v>57600</v>
          </cell>
          <cell r="U1110">
            <v>63360.000000000007</v>
          </cell>
          <cell r="V1110">
            <v>69696.000000000015</v>
          </cell>
          <cell r="W1110">
            <v>76665.60000000002</v>
          </cell>
        </row>
        <row r="1111">
          <cell r="A1111" t="str">
            <v>Nov</v>
          </cell>
          <cell r="B1111">
            <v>130000</v>
          </cell>
          <cell r="C1111">
            <v>78000</v>
          </cell>
          <cell r="D1111">
            <v>130000</v>
          </cell>
          <cell r="E1111">
            <v>130000</v>
          </cell>
          <cell r="F1111">
            <v>130000</v>
          </cell>
          <cell r="G1111">
            <v>97500</v>
          </cell>
          <cell r="H1111">
            <v>130000</v>
          </cell>
          <cell r="I1111">
            <v>130000</v>
          </cell>
          <cell r="J1111">
            <v>130000</v>
          </cell>
          <cell r="K1111">
            <v>130000</v>
          </cell>
          <cell r="L1111">
            <v>130000</v>
          </cell>
          <cell r="M1111">
            <v>130000</v>
          </cell>
          <cell r="N1111">
            <v>130000</v>
          </cell>
          <cell r="P1111">
            <v>124800</v>
          </cell>
          <cell r="Q1111">
            <v>124800</v>
          </cell>
          <cell r="R1111">
            <v>124800</v>
          </cell>
          <cell r="S1111">
            <v>124800</v>
          </cell>
          <cell r="U1111">
            <v>137280</v>
          </cell>
          <cell r="V1111">
            <v>151008</v>
          </cell>
          <cell r="W1111">
            <v>166108.80000000002</v>
          </cell>
        </row>
        <row r="1112">
          <cell r="A1112" t="str">
            <v>Syk</v>
          </cell>
          <cell r="B1112">
            <v>45000</v>
          </cell>
          <cell r="C1112">
            <v>27000</v>
          </cell>
          <cell r="D1112">
            <v>45000</v>
          </cell>
          <cell r="E1112">
            <v>45000</v>
          </cell>
          <cell r="F1112">
            <v>45000</v>
          </cell>
          <cell r="G1112">
            <v>33750</v>
          </cell>
          <cell r="H1112">
            <v>45000</v>
          </cell>
          <cell r="I1112">
            <v>45000</v>
          </cell>
          <cell r="J1112">
            <v>45000</v>
          </cell>
          <cell r="K1112">
            <v>45000</v>
          </cell>
          <cell r="L1112">
            <v>45000</v>
          </cell>
          <cell r="M1112">
            <v>45000</v>
          </cell>
          <cell r="N1112">
            <v>45000</v>
          </cell>
          <cell r="P1112">
            <v>43200</v>
          </cell>
          <cell r="Q1112">
            <v>43200</v>
          </cell>
          <cell r="R1112">
            <v>43200</v>
          </cell>
          <cell r="S1112">
            <v>43200</v>
          </cell>
          <cell r="U1112">
            <v>47520.000000000007</v>
          </cell>
          <cell r="V1112">
            <v>52272.000000000015</v>
          </cell>
          <cell r="W1112">
            <v>57499.200000000019</v>
          </cell>
        </row>
        <row r="1113">
          <cell r="A1113" t="str">
            <v>Tyu</v>
          </cell>
          <cell r="B1113">
            <v>320000</v>
          </cell>
          <cell r="C1113">
            <v>192000</v>
          </cell>
          <cell r="D1113">
            <v>320000</v>
          </cell>
          <cell r="E1113">
            <v>320000</v>
          </cell>
          <cell r="F1113">
            <v>320000</v>
          </cell>
          <cell r="G1113">
            <v>240000</v>
          </cell>
          <cell r="H1113">
            <v>320000</v>
          </cell>
          <cell r="I1113">
            <v>320000</v>
          </cell>
          <cell r="J1113">
            <v>320000</v>
          </cell>
          <cell r="K1113">
            <v>320000</v>
          </cell>
          <cell r="L1113">
            <v>320000</v>
          </cell>
          <cell r="M1113">
            <v>320000</v>
          </cell>
          <cell r="N1113">
            <v>320000</v>
          </cell>
          <cell r="P1113">
            <v>307200</v>
          </cell>
          <cell r="Q1113">
            <v>307200</v>
          </cell>
          <cell r="R1113">
            <v>307200</v>
          </cell>
          <cell r="S1113">
            <v>307200</v>
          </cell>
          <cell r="U1113">
            <v>337920</v>
          </cell>
          <cell r="V1113">
            <v>371712.00000000006</v>
          </cell>
          <cell r="W1113">
            <v>408883.20000000007</v>
          </cell>
        </row>
        <row r="1114">
          <cell r="A1114" t="str">
            <v>Ufa</v>
          </cell>
          <cell r="B1114">
            <v>250000</v>
          </cell>
          <cell r="C1114">
            <v>150000</v>
          </cell>
          <cell r="D1114">
            <v>250000</v>
          </cell>
          <cell r="E1114">
            <v>250000</v>
          </cell>
          <cell r="F1114">
            <v>250000</v>
          </cell>
          <cell r="G1114">
            <v>187500</v>
          </cell>
          <cell r="H1114">
            <v>250000</v>
          </cell>
          <cell r="I1114">
            <v>250000</v>
          </cell>
          <cell r="J1114">
            <v>250000</v>
          </cell>
          <cell r="K1114">
            <v>250000</v>
          </cell>
          <cell r="L1114">
            <v>250000</v>
          </cell>
          <cell r="M1114">
            <v>250000</v>
          </cell>
          <cell r="N1114">
            <v>250000</v>
          </cell>
          <cell r="P1114">
            <v>240000</v>
          </cell>
          <cell r="Q1114">
            <v>240000</v>
          </cell>
          <cell r="R1114">
            <v>240000</v>
          </cell>
          <cell r="S1114">
            <v>240000</v>
          </cell>
          <cell r="U1114">
            <v>264000</v>
          </cell>
          <cell r="V1114">
            <v>290400</v>
          </cell>
          <cell r="W1114">
            <v>319440</v>
          </cell>
        </row>
        <row r="1115">
          <cell r="A1115" t="str">
            <v>Vla</v>
          </cell>
          <cell r="B1115">
            <v>130000</v>
          </cell>
          <cell r="C1115">
            <v>78000</v>
          </cell>
          <cell r="D1115">
            <v>130000</v>
          </cell>
          <cell r="E1115">
            <v>130000</v>
          </cell>
          <cell r="F1115">
            <v>130000</v>
          </cell>
          <cell r="G1115">
            <v>97500</v>
          </cell>
          <cell r="H1115">
            <v>130000</v>
          </cell>
          <cell r="I1115">
            <v>130000</v>
          </cell>
          <cell r="J1115">
            <v>130000</v>
          </cell>
          <cell r="K1115">
            <v>130000</v>
          </cell>
          <cell r="L1115">
            <v>130000</v>
          </cell>
          <cell r="M1115">
            <v>130000</v>
          </cell>
          <cell r="N1115">
            <v>130000</v>
          </cell>
          <cell r="P1115">
            <v>124800</v>
          </cell>
          <cell r="Q1115">
            <v>124800</v>
          </cell>
          <cell r="R1115">
            <v>124800</v>
          </cell>
          <cell r="S1115">
            <v>124800</v>
          </cell>
          <cell r="U1115">
            <v>137280</v>
          </cell>
          <cell r="V1115">
            <v>151008</v>
          </cell>
          <cell r="W1115">
            <v>166108.80000000002</v>
          </cell>
        </row>
        <row r="1116">
          <cell r="A1116" t="str">
            <v>Vol</v>
          </cell>
          <cell r="B1116">
            <v>60000</v>
          </cell>
          <cell r="C1116">
            <v>36000</v>
          </cell>
          <cell r="D1116">
            <v>60000</v>
          </cell>
          <cell r="E1116">
            <v>60000</v>
          </cell>
          <cell r="F1116">
            <v>60000</v>
          </cell>
          <cell r="G1116">
            <v>45000</v>
          </cell>
          <cell r="H1116">
            <v>60000</v>
          </cell>
          <cell r="I1116">
            <v>100000</v>
          </cell>
          <cell r="J1116">
            <v>100000</v>
          </cell>
          <cell r="K1116">
            <v>100000</v>
          </cell>
          <cell r="L1116">
            <v>100000</v>
          </cell>
          <cell r="M1116">
            <v>100000</v>
          </cell>
          <cell r="N1116">
            <v>100000</v>
          </cell>
          <cell r="P1116">
            <v>96000</v>
          </cell>
          <cell r="Q1116">
            <v>96000</v>
          </cell>
          <cell r="R1116">
            <v>96000</v>
          </cell>
          <cell r="S1116">
            <v>96000</v>
          </cell>
          <cell r="U1116">
            <v>105600.00000000001</v>
          </cell>
          <cell r="V1116">
            <v>116160.00000000003</v>
          </cell>
          <cell r="W1116">
            <v>127776.00000000004</v>
          </cell>
        </row>
        <row r="1117">
          <cell r="A1117" t="str">
            <v>Vor</v>
          </cell>
          <cell r="B1117">
            <v>105000</v>
          </cell>
          <cell r="C1117">
            <v>63000</v>
          </cell>
          <cell r="D1117">
            <v>105000</v>
          </cell>
          <cell r="E1117">
            <v>105000</v>
          </cell>
          <cell r="F1117">
            <v>105000</v>
          </cell>
          <cell r="G1117">
            <v>78750</v>
          </cell>
          <cell r="H1117">
            <v>105000</v>
          </cell>
          <cell r="I1117">
            <v>105000</v>
          </cell>
          <cell r="J1117">
            <v>105000</v>
          </cell>
          <cell r="K1117">
            <v>105000</v>
          </cell>
          <cell r="L1117">
            <v>105000</v>
          </cell>
          <cell r="M1117">
            <v>105000</v>
          </cell>
          <cell r="N1117">
            <v>105000</v>
          </cell>
          <cell r="P1117">
            <v>100800</v>
          </cell>
          <cell r="Q1117">
            <v>100800</v>
          </cell>
          <cell r="R1117">
            <v>100800</v>
          </cell>
          <cell r="S1117">
            <v>100800</v>
          </cell>
          <cell r="U1117">
            <v>110880.00000000001</v>
          </cell>
          <cell r="V1117">
            <v>121968.00000000003</v>
          </cell>
          <cell r="W1117">
            <v>134164.80000000005</v>
          </cell>
        </row>
        <row r="1118">
          <cell r="A1118" t="str">
            <v>97#1</v>
          </cell>
          <cell r="B1118">
            <v>32500</v>
          </cell>
          <cell r="C1118">
            <v>19500</v>
          </cell>
          <cell r="D1118">
            <v>32500</v>
          </cell>
          <cell r="E1118">
            <v>32500</v>
          </cell>
          <cell r="F1118">
            <v>32500</v>
          </cell>
          <cell r="G1118">
            <v>24375</v>
          </cell>
          <cell r="H1118">
            <v>90000</v>
          </cell>
          <cell r="I1118">
            <v>91800</v>
          </cell>
          <cell r="J1118">
            <v>93636</v>
          </cell>
          <cell r="K1118">
            <v>95508.72</v>
          </cell>
          <cell r="L1118">
            <v>97418.894400000005</v>
          </cell>
          <cell r="M1118">
            <v>99367.272288000007</v>
          </cell>
          <cell r="N1118">
            <v>101354.61773376001</v>
          </cell>
          <cell r="P1118">
            <v>97300.433024409605</v>
          </cell>
          <cell r="Q1118">
            <v>97300.433024409605</v>
          </cell>
          <cell r="R1118">
            <v>97300.433024409605</v>
          </cell>
          <cell r="S1118">
            <v>97300.433024409605</v>
          </cell>
          <cell r="U1118">
            <v>107030.47632685058</v>
          </cell>
          <cell r="V1118">
            <v>117733.52395953564</v>
          </cell>
          <cell r="W1118">
            <v>129506.87635548922</v>
          </cell>
        </row>
        <row r="1119">
          <cell r="A1119" t="str">
            <v>97#2</v>
          </cell>
          <cell r="B1119">
            <v>32500</v>
          </cell>
          <cell r="C1119">
            <v>19500</v>
          </cell>
          <cell r="D1119">
            <v>32500</v>
          </cell>
          <cell r="E1119">
            <v>32500</v>
          </cell>
          <cell r="F1119">
            <v>32500</v>
          </cell>
          <cell r="G1119">
            <v>24375</v>
          </cell>
          <cell r="H1119">
            <v>32500</v>
          </cell>
          <cell r="I1119">
            <v>32500</v>
          </cell>
          <cell r="J1119">
            <v>32500</v>
          </cell>
          <cell r="K1119">
            <v>32500</v>
          </cell>
          <cell r="L1119">
            <v>32500</v>
          </cell>
          <cell r="M1119">
            <v>32500</v>
          </cell>
          <cell r="N1119">
            <v>32500</v>
          </cell>
          <cell r="P1119">
            <v>31200</v>
          </cell>
          <cell r="Q1119">
            <v>31200</v>
          </cell>
          <cell r="R1119">
            <v>31200</v>
          </cell>
          <cell r="S1119">
            <v>31200</v>
          </cell>
          <cell r="U1119">
            <v>34320</v>
          </cell>
          <cell r="V1119">
            <v>37752</v>
          </cell>
          <cell r="W1119">
            <v>41527.200000000004</v>
          </cell>
        </row>
        <row r="1120">
          <cell r="A1120" t="str">
            <v>98#1</v>
          </cell>
          <cell r="B1120">
            <v>32500</v>
          </cell>
          <cell r="C1120">
            <v>19500</v>
          </cell>
          <cell r="D1120">
            <v>32500</v>
          </cell>
          <cell r="E1120">
            <v>32500</v>
          </cell>
          <cell r="F1120">
            <v>32500</v>
          </cell>
          <cell r="G1120">
            <v>24375</v>
          </cell>
          <cell r="H1120">
            <v>32500</v>
          </cell>
          <cell r="I1120">
            <v>32500</v>
          </cell>
          <cell r="J1120">
            <v>32500</v>
          </cell>
          <cell r="K1120">
            <v>32500</v>
          </cell>
          <cell r="L1120">
            <v>32500</v>
          </cell>
          <cell r="M1120">
            <v>32500</v>
          </cell>
          <cell r="N1120">
            <v>32500</v>
          </cell>
          <cell r="P1120">
            <v>31200</v>
          </cell>
          <cell r="Q1120">
            <v>31200</v>
          </cell>
          <cell r="R1120">
            <v>31200</v>
          </cell>
          <cell r="S1120">
            <v>31200</v>
          </cell>
          <cell r="U1120">
            <v>34320</v>
          </cell>
          <cell r="V1120">
            <v>37752</v>
          </cell>
          <cell r="W1120">
            <v>41527.200000000004</v>
          </cell>
        </row>
        <row r="1121">
          <cell r="A1121" t="str">
            <v>98#2</v>
          </cell>
          <cell r="B1121">
            <v>32500</v>
          </cell>
          <cell r="C1121">
            <v>19500</v>
          </cell>
          <cell r="D1121">
            <v>32500</v>
          </cell>
          <cell r="E1121">
            <v>32500</v>
          </cell>
          <cell r="F1121">
            <v>32500</v>
          </cell>
          <cell r="G1121">
            <v>24375</v>
          </cell>
          <cell r="H1121">
            <v>32500</v>
          </cell>
          <cell r="I1121">
            <v>32500</v>
          </cell>
          <cell r="J1121">
            <v>32500</v>
          </cell>
          <cell r="K1121">
            <v>32500</v>
          </cell>
          <cell r="L1121">
            <v>32500</v>
          </cell>
          <cell r="M1121">
            <v>32500</v>
          </cell>
          <cell r="N1121">
            <v>32500</v>
          </cell>
          <cell r="P1121">
            <v>31200</v>
          </cell>
          <cell r="Q1121">
            <v>31200</v>
          </cell>
          <cell r="R1121">
            <v>31200</v>
          </cell>
          <cell r="S1121">
            <v>31200</v>
          </cell>
          <cell r="U1121">
            <v>34320</v>
          </cell>
          <cell r="V1121">
            <v>37752</v>
          </cell>
          <cell r="W1121">
            <v>41527.200000000004</v>
          </cell>
        </row>
        <row r="1122">
          <cell r="A1122" t="str">
            <v>Mos</v>
          </cell>
        </row>
        <row r="1123">
          <cell r="A1123" t="str">
            <v>Con</v>
          </cell>
        </row>
        <row r="1125">
          <cell r="A1125" t="str">
            <v>Swtch Average Intercity Tariff</v>
          </cell>
        </row>
        <row r="1126">
          <cell r="B1126">
            <v>35765</v>
          </cell>
          <cell r="C1126">
            <v>35796</v>
          </cell>
          <cell r="D1126">
            <v>35827</v>
          </cell>
          <cell r="E1126">
            <v>35855</v>
          </cell>
          <cell r="F1126">
            <v>35886</v>
          </cell>
          <cell r="G1126">
            <v>35916</v>
          </cell>
          <cell r="H1126">
            <v>35947</v>
          </cell>
          <cell r="I1126">
            <v>35977</v>
          </cell>
          <cell r="J1126">
            <v>36008</v>
          </cell>
          <cell r="K1126">
            <v>36039</v>
          </cell>
          <cell r="L1126">
            <v>36069</v>
          </cell>
          <cell r="M1126">
            <v>36100</v>
          </cell>
          <cell r="N1126">
            <v>36130</v>
          </cell>
          <cell r="O1126" t="str">
            <v>Total 98</v>
          </cell>
          <cell r="P1126" t="str">
            <v>Q1-99</v>
          </cell>
          <cell r="Q1126" t="str">
            <v>Q2-99</v>
          </cell>
          <cell r="R1126" t="str">
            <v>Q3-99</v>
          </cell>
          <cell r="S1126" t="str">
            <v>Q4-99</v>
          </cell>
          <cell r="T1126" t="str">
            <v>Total 99</v>
          </cell>
          <cell r="U1126">
            <v>2000</v>
          </cell>
          <cell r="V1126">
            <v>2001</v>
          </cell>
          <cell r="W1126">
            <v>2002</v>
          </cell>
        </row>
        <row r="1127">
          <cell r="A1127" t="str">
            <v>Ark</v>
          </cell>
          <cell r="C1127">
            <v>1.4999999999999999E-2</v>
          </cell>
          <cell r="D1127">
            <v>1.4999999999999999E-2</v>
          </cell>
          <cell r="E1127">
            <v>1.4999999999999999E-2</v>
          </cell>
          <cell r="F1127">
            <v>1.4999999999999999E-2</v>
          </cell>
          <cell r="G1127">
            <v>1.4999999999999999E-2</v>
          </cell>
          <cell r="H1127">
            <v>1.4999999999999999E-2</v>
          </cell>
          <cell r="I1127">
            <v>1.4999999999999999E-2</v>
          </cell>
          <cell r="J1127">
            <v>1.4999999999999999E-2</v>
          </cell>
          <cell r="K1127">
            <v>1.4999999999999999E-2</v>
          </cell>
          <cell r="L1127">
            <v>1.4999999999999999E-2</v>
          </cell>
          <cell r="M1127">
            <v>1.4999999999999999E-2</v>
          </cell>
          <cell r="N1127">
            <v>1.4999999999999999E-2</v>
          </cell>
          <cell r="P1127">
            <v>1.35E-2</v>
          </cell>
          <cell r="Q1127">
            <v>1.35E-2</v>
          </cell>
          <cell r="R1127">
            <v>1.35E-2</v>
          </cell>
          <cell r="S1127">
            <v>1.35E-2</v>
          </cell>
          <cell r="U1127">
            <v>1.2149999999999999E-2</v>
          </cell>
          <cell r="V1127">
            <v>1.0935E-2</v>
          </cell>
          <cell r="W1127">
            <v>9.8415000000000013E-3</v>
          </cell>
        </row>
        <row r="1128">
          <cell r="A1128" t="str">
            <v>Eka</v>
          </cell>
          <cell r="C1128">
            <v>1.4999999999999999E-2</v>
          </cell>
          <cell r="D1128">
            <v>1.4999999999999999E-2</v>
          </cell>
          <cell r="E1128">
            <v>1.4999999999999999E-2</v>
          </cell>
          <cell r="F1128">
            <v>1.4999999999999999E-2</v>
          </cell>
          <cell r="G1128">
            <v>1.4999999999999999E-2</v>
          </cell>
          <cell r="H1128">
            <v>1.4999999999999999E-2</v>
          </cell>
          <cell r="I1128">
            <v>1.4999999999999999E-2</v>
          </cell>
          <cell r="J1128">
            <v>1.4999999999999999E-2</v>
          </cell>
          <cell r="K1128">
            <v>1.4999999999999999E-2</v>
          </cell>
          <cell r="L1128">
            <v>1.4999999999999999E-2</v>
          </cell>
          <cell r="M1128">
            <v>1.4999999999999999E-2</v>
          </cell>
          <cell r="N1128">
            <v>1.4999999999999999E-2</v>
          </cell>
          <cell r="P1128">
            <v>1.35E-2</v>
          </cell>
          <cell r="Q1128">
            <v>1.35E-2</v>
          </cell>
          <cell r="R1128">
            <v>1.35E-2</v>
          </cell>
          <cell r="S1128">
            <v>1.35E-2</v>
          </cell>
          <cell r="U1128">
            <v>1.2149999999999999E-2</v>
          </cell>
          <cell r="V1128">
            <v>1.0935E-2</v>
          </cell>
          <cell r="W1128">
            <v>9.8415000000000013E-3</v>
          </cell>
        </row>
        <row r="1129">
          <cell r="A1129" t="str">
            <v>Irk</v>
          </cell>
          <cell r="C1129">
            <v>0.13</v>
          </cell>
          <cell r="D1129">
            <v>0.13</v>
          </cell>
          <cell r="E1129">
            <v>0.13</v>
          </cell>
          <cell r="F1129">
            <v>0.13</v>
          </cell>
          <cell r="G1129">
            <v>0.13</v>
          </cell>
          <cell r="H1129">
            <v>0.13</v>
          </cell>
          <cell r="I1129">
            <v>0.13</v>
          </cell>
          <cell r="J1129">
            <v>0.13</v>
          </cell>
          <cell r="K1129">
            <v>0.13</v>
          </cell>
          <cell r="L1129">
            <v>0.13</v>
          </cell>
          <cell r="M1129">
            <v>0.13</v>
          </cell>
          <cell r="N1129">
            <v>0.13</v>
          </cell>
          <cell r="P1129">
            <v>0.11700000000000001</v>
          </cell>
          <cell r="Q1129">
            <v>0.11700000000000001</v>
          </cell>
          <cell r="R1129">
            <v>0.11700000000000001</v>
          </cell>
          <cell r="S1129">
            <v>0.11700000000000001</v>
          </cell>
          <cell r="U1129">
            <v>0.1053</v>
          </cell>
          <cell r="V1129">
            <v>9.4770000000000007E-2</v>
          </cell>
          <cell r="W1129">
            <v>8.5293000000000008E-2</v>
          </cell>
        </row>
        <row r="1130">
          <cell r="A1130" t="str">
            <v>Kha</v>
          </cell>
          <cell r="C1130">
            <v>0.17</v>
          </cell>
          <cell r="D1130">
            <v>0.17</v>
          </cell>
          <cell r="E1130">
            <v>0.17</v>
          </cell>
          <cell r="F1130">
            <v>0.17</v>
          </cell>
          <cell r="G1130">
            <v>0.17</v>
          </cell>
          <cell r="H1130">
            <v>0.17</v>
          </cell>
          <cell r="I1130">
            <v>0.17</v>
          </cell>
          <cell r="J1130">
            <v>0.17</v>
          </cell>
          <cell r="K1130">
            <v>0.17</v>
          </cell>
          <cell r="L1130">
            <v>0.17</v>
          </cell>
          <cell r="M1130">
            <v>0.17</v>
          </cell>
          <cell r="N1130">
            <v>0.17</v>
          </cell>
          <cell r="P1130">
            <v>0.15300000000000002</v>
          </cell>
          <cell r="Q1130">
            <v>0.15300000000000002</v>
          </cell>
          <cell r="R1130">
            <v>0.15300000000000002</v>
          </cell>
          <cell r="S1130">
            <v>0.15300000000000002</v>
          </cell>
          <cell r="U1130">
            <v>0.13770000000000002</v>
          </cell>
          <cell r="V1130">
            <v>0.12393000000000001</v>
          </cell>
          <cell r="W1130">
            <v>0.11153700000000001</v>
          </cell>
        </row>
        <row r="1131">
          <cell r="A1131" t="str">
            <v>Kra</v>
          </cell>
          <cell r="C1131">
            <v>1.4999999999999999E-2</v>
          </cell>
          <cell r="D1131">
            <v>1.4999999999999999E-2</v>
          </cell>
          <cell r="E1131">
            <v>1.4999999999999999E-2</v>
          </cell>
          <cell r="F1131">
            <v>1.4999999999999999E-2</v>
          </cell>
          <cell r="G1131">
            <v>1.4999999999999999E-2</v>
          </cell>
          <cell r="H1131">
            <v>1.4999999999999999E-2</v>
          </cell>
          <cell r="I1131">
            <v>1.4999999999999999E-2</v>
          </cell>
          <cell r="J1131">
            <v>1.4999999999999999E-2</v>
          </cell>
          <cell r="K1131">
            <v>1.4999999999999999E-2</v>
          </cell>
          <cell r="L1131">
            <v>1.4999999999999999E-2</v>
          </cell>
          <cell r="M1131">
            <v>1.4999999999999999E-2</v>
          </cell>
          <cell r="N1131">
            <v>1.4999999999999999E-2</v>
          </cell>
          <cell r="P1131">
            <v>1.35E-2</v>
          </cell>
          <cell r="Q1131">
            <v>1.35E-2</v>
          </cell>
          <cell r="R1131">
            <v>1.35E-2</v>
          </cell>
          <cell r="S1131">
            <v>1.35E-2</v>
          </cell>
          <cell r="U1131">
            <v>1.2149999999999999E-2</v>
          </cell>
          <cell r="V1131">
            <v>1.0935E-2</v>
          </cell>
          <cell r="W1131">
            <v>9.8415000000000013E-3</v>
          </cell>
        </row>
        <row r="1132">
          <cell r="A1132" t="str">
            <v>Niz</v>
          </cell>
          <cell r="C1132">
            <v>1.4999999999999999E-2</v>
          </cell>
          <cell r="D1132">
            <v>1.4999999999999999E-2</v>
          </cell>
          <cell r="E1132">
            <v>1.4999999999999999E-2</v>
          </cell>
          <cell r="F1132">
            <v>1.4999999999999999E-2</v>
          </cell>
          <cell r="G1132">
            <v>1.4999999999999999E-2</v>
          </cell>
          <cell r="H1132">
            <v>1.4999999999999999E-2</v>
          </cell>
          <cell r="I1132">
            <v>1.4999999999999999E-2</v>
          </cell>
          <cell r="J1132">
            <v>1.4999999999999999E-2</v>
          </cell>
          <cell r="K1132">
            <v>1.4999999999999999E-2</v>
          </cell>
          <cell r="L1132">
            <v>1.4999999999999999E-2</v>
          </cell>
          <cell r="M1132">
            <v>1.4999999999999999E-2</v>
          </cell>
          <cell r="N1132">
            <v>1.4999999999999999E-2</v>
          </cell>
          <cell r="P1132">
            <v>1.35E-2</v>
          </cell>
          <cell r="Q1132">
            <v>1.35E-2</v>
          </cell>
          <cell r="R1132">
            <v>1.35E-2</v>
          </cell>
          <cell r="S1132">
            <v>1.35E-2</v>
          </cell>
          <cell r="U1132">
            <v>1.2149999999999999E-2</v>
          </cell>
          <cell r="V1132">
            <v>1.0935E-2</v>
          </cell>
          <cell r="W1132">
            <v>9.8415000000000013E-3</v>
          </cell>
        </row>
        <row r="1133">
          <cell r="A1133" t="str">
            <v>Nov</v>
          </cell>
          <cell r="C1133">
            <v>0.08</v>
          </cell>
          <cell r="D1133">
            <v>0.08</v>
          </cell>
          <cell r="E1133">
            <v>0.08</v>
          </cell>
          <cell r="F1133">
            <v>0.08</v>
          </cell>
          <cell r="G1133">
            <v>0.08</v>
          </cell>
          <cell r="H1133">
            <v>0.08</v>
          </cell>
          <cell r="I1133">
            <v>0.08</v>
          </cell>
          <cell r="J1133">
            <v>0.08</v>
          </cell>
          <cell r="K1133">
            <v>0.08</v>
          </cell>
          <cell r="L1133">
            <v>0.08</v>
          </cell>
          <cell r="M1133">
            <v>0.08</v>
          </cell>
          <cell r="N1133">
            <v>0.08</v>
          </cell>
          <cell r="P1133">
            <v>7.2000000000000008E-2</v>
          </cell>
          <cell r="Q1133">
            <v>7.2000000000000008E-2</v>
          </cell>
          <cell r="R1133">
            <v>7.2000000000000008E-2</v>
          </cell>
          <cell r="S1133">
            <v>7.2000000000000008E-2</v>
          </cell>
          <cell r="U1133">
            <v>6.480000000000001E-2</v>
          </cell>
          <cell r="V1133">
            <v>5.8320000000000011E-2</v>
          </cell>
          <cell r="W1133">
            <v>5.2488000000000014E-2</v>
          </cell>
        </row>
        <row r="1134">
          <cell r="A1134" t="str">
            <v>Syk</v>
          </cell>
          <cell r="C1134">
            <v>1.4999999999999999E-2</v>
          </cell>
          <cell r="D1134">
            <v>1.4999999999999999E-2</v>
          </cell>
          <cell r="E1134">
            <v>1.4999999999999999E-2</v>
          </cell>
          <cell r="F1134">
            <v>1.4999999999999999E-2</v>
          </cell>
          <cell r="G1134">
            <v>1.4999999999999999E-2</v>
          </cell>
          <cell r="H1134">
            <v>1.4999999999999999E-2</v>
          </cell>
          <cell r="I1134">
            <v>1.4999999999999999E-2</v>
          </cell>
          <cell r="J1134">
            <v>1.4999999999999999E-2</v>
          </cell>
          <cell r="K1134">
            <v>1.4999999999999999E-2</v>
          </cell>
          <cell r="L1134">
            <v>1.4999999999999999E-2</v>
          </cell>
          <cell r="M1134">
            <v>1.4999999999999999E-2</v>
          </cell>
          <cell r="N1134">
            <v>1.4999999999999999E-2</v>
          </cell>
          <cell r="P1134">
            <v>1.35E-2</v>
          </cell>
          <cell r="Q1134">
            <v>1.35E-2</v>
          </cell>
          <cell r="R1134">
            <v>1.35E-2</v>
          </cell>
          <cell r="S1134">
            <v>1.35E-2</v>
          </cell>
          <cell r="U1134">
            <v>1.2149999999999999E-2</v>
          </cell>
          <cell r="V1134">
            <v>1.0935E-2</v>
          </cell>
          <cell r="W1134">
            <v>9.8415000000000013E-3</v>
          </cell>
        </row>
        <row r="1135">
          <cell r="A1135" t="str">
            <v>Tyu</v>
          </cell>
          <cell r="C1135">
            <v>0.03</v>
          </cell>
          <cell r="D1135">
            <v>0.03</v>
          </cell>
          <cell r="E1135">
            <v>0.03</v>
          </cell>
          <cell r="F1135">
            <v>0.03</v>
          </cell>
          <cell r="G1135">
            <v>0.03</v>
          </cell>
          <cell r="H1135">
            <v>0.03</v>
          </cell>
          <cell r="I1135">
            <v>0.03</v>
          </cell>
          <cell r="J1135">
            <v>0.03</v>
          </cell>
          <cell r="K1135">
            <v>0.03</v>
          </cell>
          <cell r="L1135">
            <v>0.03</v>
          </cell>
          <cell r="M1135">
            <v>0.03</v>
          </cell>
          <cell r="N1135">
            <v>0.03</v>
          </cell>
          <cell r="P1135">
            <v>2.7E-2</v>
          </cell>
          <cell r="Q1135">
            <v>2.7E-2</v>
          </cell>
          <cell r="R1135">
            <v>2.7E-2</v>
          </cell>
          <cell r="S1135">
            <v>2.7E-2</v>
          </cell>
          <cell r="U1135">
            <v>2.4299999999999999E-2</v>
          </cell>
          <cell r="V1135">
            <v>2.1870000000000001E-2</v>
          </cell>
          <cell r="W1135">
            <v>1.9683000000000003E-2</v>
          </cell>
        </row>
        <row r="1136">
          <cell r="A1136" t="str">
            <v>Ufa</v>
          </cell>
          <cell r="C1136">
            <v>0.02</v>
          </cell>
          <cell r="D1136">
            <v>0.02</v>
          </cell>
          <cell r="E1136">
            <v>0.02</v>
          </cell>
          <cell r="F1136">
            <v>0.02</v>
          </cell>
          <cell r="G1136">
            <v>0.02</v>
          </cell>
          <cell r="H1136">
            <v>0.02</v>
          </cell>
          <cell r="I1136">
            <v>0.02</v>
          </cell>
          <cell r="J1136">
            <v>0.02</v>
          </cell>
          <cell r="K1136">
            <v>0.02</v>
          </cell>
          <cell r="L1136">
            <v>0.02</v>
          </cell>
          <cell r="M1136">
            <v>0.02</v>
          </cell>
          <cell r="N1136">
            <v>0.02</v>
          </cell>
          <cell r="P1136">
            <v>1.8000000000000002E-2</v>
          </cell>
          <cell r="Q1136">
            <v>1.8000000000000002E-2</v>
          </cell>
          <cell r="R1136">
            <v>1.8000000000000002E-2</v>
          </cell>
          <cell r="S1136">
            <v>1.8000000000000002E-2</v>
          </cell>
          <cell r="U1136">
            <v>1.6200000000000003E-2</v>
          </cell>
          <cell r="V1136">
            <v>1.4580000000000003E-2</v>
          </cell>
          <cell r="W1136">
            <v>1.3122000000000003E-2</v>
          </cell>
        </row>
        <row r="1137">
          <cell r="A1137" t="str">
            <v>Vla</v>
          </cell>
          <cell r="C1137">
            <v>0.27</v>
          </cell>
          <cell r="D1137">
            <v>0.27</v>
          </cell>
          <cell r="E1137">
            <v>0.27</v>
          </cell>
          <cell r="F1137">
            <v>0.27</v>
          </cell>
          <cell r="G1137">
            <v>0.27</v>
          </cell>
          <cell r="H1137">
            <v>0.27</v>
          </cell>
          <cell r="I1137">
            <v>0.27</v>
          </cell>
          <cell r="J1137">
            <v>0.27</v>
          </cell>
          <cell r="K1137">
            <v>0.27</v>
          </cell>
          <cell r="L1137">
            <v>0.27</v>
          </cell>
          <cell r="M1137">
            <v>0.27</v>
          </cell>
          <cell r="N1137">
            <v>0.27</v>
          </cell>
          <cell r="P1137">
            <v>0.24300000000000002</v>
          </cell>
          <cell r="Q1137">
            <v>0.24300000000000002</v>
          </cell>
          <cell r="R1137">
            <v>0.24300000000000002</v>
          </cell>
          <cell r="S1137">
            <v>0.24300000000000002</v>
          </cell>
          <cell r="U1137">
            <v>0.21870000000000003</v>
          </cell>
          <cell r="V1137">
            <v>0.19683000000000003</v>
          </cell>
          <cell r="W1137">
            <v>0.17714700000000003</v>
          </cell>
        </row>
        <row r="1138">
          <cell r="A1138" t="str">
            <v>Vol</v>
          </cell>
          <cell r="C1138">
            <v>0.02</v>
          </cell>
          <cell r="D1138">
            <v>0.02</v>
          </cell>
          <cell r="E1138">
            <v>0.02</v>
          </cell>
          <cell r="F1138">
            <v>0.02</v>
          </cell>
          <cell r="G1138">
            <v>0.02</v>
          </cell>
          <cell r="H1138">
            <v>0.02</v>
          </cell>
          <cell r="I1138">
            <v>0.02</v>
          </cell>
          <cell r="J1138">
            <v>0.02</v>
          </cell>
          <cell r="K1138">
            <v>0.02</v>
          </cell>
          <cell r="L1138">
            <v>0.02</v>
          </cell>
          <cell r="M1138">
            <v>0.02</v>
          </cell>
          <cell r="N1138">
            <v>0.02</v>
          </cell>
          <cell r="P1138">
            <v>1.8000000000000002E-2</v>
          </cell>
          <cell r="Q1138">
            <v>1.8000000000000002E-2</v>
          </cell>
          <cell r="R1138">
            <v>1.8000000000000002E-2</v>
          </cell>
          <cell r="S1138">
            <v>1.8000000000000002E-2</v>
          </cell>
          <cell r="U1138">
            <v>1.6200000000000003E-2</v>
          </cell>
          <cell r="V1138">
            <v>1.4580000000000003E-2</v>
          </cell>
          <cell r="W1138">
            <v>1.3122000000000003E-2</v>
          </cell>
        </row>
        <row r="1139">
          <cell r="A1139" t="str">
            <v>Vor</v>
          </cell>
          <cell r="C1139">
            <v>1.4999999999999999E-2</v>
          </cell>
          <cell r="D1139">
            <v>1.4999999999999999E-2</v>
          </cell>
          <cell r="E1139">
            <v>1.4999999999999999E-2</v>
          </cell>
          <cell r="F1139">
            <v>1.4999999999999999E-2</v>
          </cell>
          <cell r="G1139">
            <v>1.4999999999999999E-2</v>
          </cell>
          <cell r="H1139">
            <v>1.4999999999999999E-2</v>
          </cell>
          <cell r="I1139">
            <v>1.4999999999999999E-2</v>
          </cell>
          <cell r="J1139">
            <v>1.4999999999999999E-2</v>
          </cell>
          <cell r="K1139">
            <v>1.4999999999999999E-2</v>
          </cell>
          <cell r="L1139">
            <v>1.4999999999999999E-2</v>
          </cell>
          <cell r="M1139">
            <v>1.4999999999999999E-2</v>
          </cell>
          <cell r="N1139">
            <v>1.4999999999999999E-2</v>
          </cell>
          <cell r="P1139">
            <v>1.35E-2</v>
          </cell>
          <cell r="Q1139">
            <v>1.35E-2</v>
          </cell>
          <cell r="R1139">
            <v>1.35E-2</v>
          </cell>
          <cell r="S1139">
            <v>1.35E-2</v>
          </cell>
          <cell r="U1139">
            <v>1.2149999999999999E-2</v>
          </cell>
          <cell r="V1139">
            <v>1.0935E-2</v>
          </cell>
          <cell r="W1139">
            <v>9.8415000000000013E-3</v>
          </cell>
        </row>
        <row r="1140">
          <cell r="A1140" t="str">
            <v>97#1</v>
          </cell>
          <cell r="C1140">
            <v>1.4999999999999999E-2</v>
          </cell>
          <cell r="D1140">
            <v>1.4999999999999999E-2</v>
          </cell>
          <cell r="E1140">
            <v>1.4999999999999999E-2</v>
          </cell>
          <cell r="F1140">
            <v>1.4999999999999999E-2</v>
          </cell>
          <cell r="G1140">
            <v>1.4999999999999999E-2</v>
          </cell>
          <cell r="H1140">
            <v>1.4999999999999999E-2</v>
          </cell>
          <cell r="I1140">
            <v>1.4999999999999999E-2</v>
          </cell>
          <cell r="J1140">
            <v>1.4999999999999999E-2</v>
          </cell>
          <cell r="K1140">
            <v>1.4999999999999999E-2</v>
          </cell>
          <cell r="L1140">
            <v>1.4999999999999999E-2</v>
          </cell>
          <cell r="M1140">
            <v>1.4999999999999999E-2</v>
          </cell>
          <cell r="N1140">
            <v>1.4999999999999999E-2</v>
          </cell>
          <cell r="P1140">
            <v>1.35E-2</v>
          </cell>
          <cell r="Q1140">
            <v>1.35E-2</v>
          </cell>
          <cell r="R1140">
            <v>1.35E-2</v>
          </cell>
          <cell r="S1140">
            <v>1.35E-2</v>
          </cell>
          <cell r="U1140">
            <v>1.2149999999999999E-2</v>
          </cell>
          <cell r="V1140">
            <v>1.0935E-2</v>
          </cell>
          <cell r="W1140">
            <v>9.8415000000000013E-3</v>
          </cell>
        </row>
        <row r="1141">
          <cell r="A1141" t="str">
            <v>97#2</v>
          </cell>
          <cell r="C1141">
            <v>1.4999999999999999E-2</v>
          </cell>
          <cell r="D1141">
            <v>1.4999999999999999E-2</v>
          </cell>
          <cell r="E1141">
            <v>1.4999999999999999E-2</v>
          </cell>
          <cell r="F1141">
            <v>1.4999999999999999E-2</v>
          </cell>
          <cell r="G1141">
            <v>1.4999999999999999E-2</v>
          </cell>
          <cell r="H1141">
            <v>1.4999999999999999E-2</v>
          </cell>
          <cell r="I1141">
            <v>1.4999999999999999E-2</v>
          </cell>
          <cell r="J1141">
            <v>1.4999999999999999E-2</v>
          </cell>
          <cell r="K1141">
            <v>1.4999999999999999E-2</v>
          </cell>
          <cell r="L1141">
            <v>1.4999999999999999E-2</v>
          </cell>
          <cell r="M1141">
            <v>1.4999999999999999E-2</v>
          </cell>
          <cell r="N1141">
            <v>1.4999999999999999E-2</v>
          </cell>
          <cell r="P1141">
            <v>1.35E-2</v>
          </cell>
          <cell r="Q1141">
            <v>1.35E-2</v>
          </cell>
          <cell r="R1141">
            <v>1.35E-2</v>
          </cell>
          <cell r="S1141">
            <v>1.35E-2</v>
          </cell>
          <cell r="U1141">
            <v>1.2149999999999999E-2</v>
          </cell>
          <cell r="V1141">
            <v>1.0935E-2</v>
          </cell>
          <cell r="W1141">
            <v>9.8415000000000013E-3</v>
          </cell>
        </row>
        <row r="1142">
          <cell r="A1142" t="str">
            <v>98#1</v>
          </cell>
          <cell r="C1142">
            <v>1.4999999999999999E-2</v>
          </cell>
          <cell r="D1142">
            <v>1.4999999999999999E-2</v>
          </cell>
          <cell r="E1142">
            <v>1.4999999999999999E-2</v>
          </cell>
          <cell r="F1142">
            <v>1.4999999999999999E-2</v>
          </cell>
          <cell r="G1142">
            <v>1.4999999999999999E-2</v>
          </cell>
          <cell r="H1142">
            <v>1.4999999999999999E-2</v>
          </cell>
          <cell r="I1142">
            <v>1.4999999999999999E-2</v>
          </cell>
          <cell r="J1142">
            <v>1.4999999999999999E-2</v>
          </cell>
          <cell r="K1142">
            <v>1.4999999999999999E-2</v>
          </cell>
          <cell r="L1142">
            <v>1.4999999999999999E-2</v>
          </cell>
          <cell r="M1142">
            <v>1.4999999999999999E-2</v>
          </cell>
          <cell r="N1142">
            <v>1.4999999999999999E-2</v>
          </cell>
          <cell r="P1142">
            <v>1.35E-2</v>
          </cell>
          <cell r="Q1142">
            <v>1.35E-2</v>
          </cell>
          <cell r="R1142">
            <v>1.35E-2</v>
          </cell>
          <cell r="S1142">
            <v>1.35E-2</v>
          </cell>
          <cell r="U1142">
            <v>1.2149999999999999E-2</v>
          </cell>
          <cell r="V1142">
            <v>1.0935E-2</v>
          </cell>
          <cell r="W1142">
            <v>9.8415000000000013E-3</v>
          </cell>
        </row>
        <row r="1143">
          <cell r="A1143" t="str">
            <v>98#2</v>
          </cell>
          <cell r="C1143">
            <v>1.4999999999999999E-2</v>
          </cell>
          <cell r="D1143">
            <v>1.4999999999999999E-2</v>
          </cell>
          <cell r="E1143">
            <v>1.4999999999999999E-2</v>
          </cell>
          <cell r="F1143">
            <v>1.4999999999999999E-2</v>
          </cell>
          <cell r="G1143">
            <v>1.4999999999999999E-2</v>
          </cell>
          <cell r="H1143">
            <v>1.4999999999999999E-2</v>
          </cell>
          <cell r="I1143">
            <v>1.4999999999999999E-2</v>
          </cell>
          <cell r="J1143">
            <v>1.4999999999999999E-2</v>
          </cell>
          <cell r="K1143">
            <v>1.4999999999999999E-2</v>
          </cell>
          <cell r="L1143">
            <v>1.4999999999999999E-2</v>
          </cell>
          <cell r="M1143">
            <v>1.4999999999999999E-2</v>
          </cell>
          <cell r="N1143">
            <v>1.4999999999999999E-2</v>
          </cell>
          <cell r="P1143">
            <v>1.35E-2</v>
          </cell>
          <cell r="Q1143">
            <v>1.35E-2</v>
          </cell>
          <cell r="R1143">
            <v>1.35E-2</v>
          </cell>
          <cell r="S1143">
            <v>1.35E-2</v>
          </cell>
          <cell r="U1143">
            <v>1.2149999999999999E-2</v>
          </cell>
          <cell r="V1143">
            <v>1.0935E-2</v>
          </cell>
          <cell r="W1143">
            <v>9.8415000000000013E-3</v>
          </cell>
        </row>
        <row r="1144">
          <cell r="A1144" t="str">
            <v>Mos</v>
          </cell>
        </row>
        <row r="1145">
          <cell r="A1145" t="str">
            <v>Con</v>
          </cell>
          <cell r="C1145">
            <v>0.25</v>
          </cell>
          <cell r="D1145">
            <v>0.25</v>
          </cell>
          <cell r="E1145">
            <v>0.25</v>
          </cell>
          <cell r="F1145">
            <v>0.25</v>
          </cell>
          <cell r="G1145">
            <v>0.25</v>
          </cell>
          <cell r="H1145">
            <v>0.25</v>
          </cell>
          <cell r="I1145">
            <v>0.25</v>
          </cell>
          <cell r="J1145">
            <v>0.25</v>
          </cell>
          <cell r="K1145">
            <v>0.25</v>
          </cell>
          <cell r="L1145">
            <v>0.25</v>
          </cell>
          <cell r="M1145">
            <v>0.25</v>
          </cell>
          <cell r="N1145">
            <v>0.25</v>
          </cell>
          <cell r="P1145">
            <v>0.22500000000000001</v>
          </cell>
          <cell r="Q1145">
            <v>0.22500000000000001</v>
          </cell>
          <cell r="R1145">
            <v>0.22500000000000001</v>
          </cell>
          <cell r="S1145">
            <v>0.22500000000000001</v>
          </cell>
          <cell r="U1145">
            <v>0.20250000000000001</v>
          </cell>
          <cell r="V1145">
            <v>0.18225000000000002</v>
          </cell>
          <cell r="W1145">
            <v>0.16402500000000003</v>
          </cell>
        </row>
        <row r="1147">
          <cell r="A1147" t="str">
            <v>Other Revenue from customers</v>
          </cell>
        </row>
        <row r="1148">
          <cell r="B1148">
            <v>35765</v>
          </cell>
          <cell r="C1148">
            <v>35796</v>
          </cell>
          <cell r="D1148">
            <v>35827</v>
          </cell>
          <cell r="E1148">
            <v>35855</v>
          </cell>
          <cell r="F1148">
            <v>35886</v>
          </cell>
          <cell r="G1148">
            <v>35916</v>
          </cell>
          <cell r="H1148">
            <v>35947</v>
          </cell>
          <cell r="I1148">
            <v>35977</v>
          </cell>
          <cell r="J1148">
            <v>36008</v>
          </cell>
          <cell r="K1148">
            <v>36039</v>
          </cell>
          <cell r="L1148">
            <v>36069</v>
          </cell>
          <cell r="M1148">
            <v>36100</v>
          </cell>
          <cell r="N1148">
            <v>36130</v>
          </cell>
          <cell r="O1148" t="str">
            <v>Total 98</v>
          </cell>
          <cell r="P1148" t="str">
            <v>Q1-99</v>
          </cell>
          <cell r="Q1148" t="str">
            <v>Q2-99</v>
          </cell>
          <cell r="R1148" t="str">
            <v>Q3-99</v>
          </cell>
          <cell r="S1148" t="str">
            <v>Q4-99</v>
          </cell>
          <cell r="T1148" t="str">
            <v>Total 99</v>
          </cell>
          <cell r="U1148">
            <v>2000</v>
          </cell>
          <cell r="V1148">
            <v>2001</v>
          </cell>
          <cell r="W1148">
            <v>2002</v>
          </cell>
        </row>
        <row r="1149">
          <cell r="A1149" t="str">
            <v>Ark</v>
          </cell>
        </row>
        <row r="1150">
          <cell r="A1150" t="str">
            <v>Eka</v>
          </cell>
        </row>
        <row r="1151">
          <cell r="A1151" t="str">
            <v>Irk</v>
          </cell>
        </row>
        <row r="1152">
          <cell r="A1152" t="str">
            <v>Kha</v>
          </cell>
        </row>
        <row r="1153">
          <cell r="A1153" t="str">
            <v>Kra</v>
          </cell>
        </row>
        <row r="1154">
          <cell r="A1154" t="str">
            <v>Niz</v>
          </cell>
        </row>
        <row r="1155">
          <cell r="A1155" t="str">
            <v>Nov</v>
          </cell>
        </row>
        <row r="1156">
          <cell r="A1156" t="str">
            <v>Syk</v>
          </cell>
        </row>
        <row r="1157">
          <cell r="A1157" t="str">
            <v>Tyu</v>
          </cell>
        </row>
        <row r="1158">
          <cell r="A1158" t="str">
            <v>Ufa</v>
          </cell>
        </row>
        <row r="1159">
          <cell r="A1159" t="str">
            <v>Vla</v>
          </cell>
        </row>
        <row r="1160">
          <cell r="A1160" t="str">
            <v>Vol</v>
          </cell>
        </row>
        <row r="1161">
          <cell r="A1161" t="str">
            <v>Vor</v>
          </cell>
        </row>
        <row r="1162">
          <cell r="A1162" t="str">
            <v>Mos</v>
          </cell>
        </row>
        <row r="1163">
          <cell r="A1163" t="str">
            <v>Con</v>
          </cell>
        </row>
        <row r="2017">
          <cell r="A2017" t="str">
            <v>Sovintel Incoming Minutes</v>
          </cell>
        </row>
        <row r="2018">
          <cell r="B2018">
            <v>35765</v>
          </cell>
          <cell r="C2018">
            <v>35796</v>
          </cell>
          <cell r="D2018">
            <v>35827</v>
          </cell>
          <cell r="E2018">
            <v>35855</v>
          </cell>
          <cell r="F2018">
            <v>35886</v>
          </cell>
          <cell r="G2018">
            <v>35916</v>
          </cell>
          <cell r="H2018">
            <v>35947</v>
          </cell>
          <cell r="I2018">
            <v>35977</v>
          </cell>
          <cell r="J2018">
            <v>36008</v>
          </cell>
          <cell r="K2018">
            <v>36039</v>
          </cell>
          <cell r="L2018">
            <v>36069</v>
          </cell>
          <cell r="M2018">
            <v>36100</v>
          </cell>
          <cell r="N2018">
            <v>36130</v>
          </cell>
          <cell r="O2018" t="str">
            <v>Total 98</v>
          </cell>
          <cell r="P2018" t="str">
            <v>Q1-99</v>
          </cell>
          <cell r="Q2018" t="str">
            <v>Q2-99</v>
          </cell>
          <cell r="R2018" t="str">
            <v>Q3-99</v>
          </cell>
          <cell r="S2018" t="str">
            <v>Q4-99</v>
          </cell>
          <cell r="T2018" t="str">
            <v>Total 99</v>
          </cell>
          <cell r="U2018">
            <v>2000</v>
          </cell>
          <cell r="V2018">
            <v>2001</v>
          </cell>
          <cell r="W2018">
            <v>2002</v>
          </cell>
        </row>
        <row r="2019">
          <cell r="A2019" t="str">
            <v>Ark</v>
          </cell>
          <cell r="C2019">
            <v>4124.2802976355224</v>
          </cell>
          <cell r="D2019">
            <v>7217.4905208621649</v>
          </cell>
          <cell r="E2019">
            <v>7578.3650469052736</v>
          </cell>
          <cell r="F2019">
            <v>7957.2832992505373</v>
          </cell>
          <cell r="G2019">
            <v>5848.6032249491445</v>
          </cell>
          <cell r="H2019">
            <v>8772.9048374237173</v>
          </cell>
          <cell r="I2019">
            <v>8860.6338857979554</v>
          </cell>
          <cell r="J2019">
            <v>8949.2402246559341</v>
          </cell>
          <cell r="K2019">
            <v>9038.7326269024943</v>
          </cell>
          <cell r="L2019">
            <v>9129.1199531715192</v>
          </cell>
          <cell r="M2019">
            <v>9220.4111527032346</v>
          </cell>
          <cell r="N2019">
            <v>9312.6152642302659</v>
          </cell>
          <cell r="O2019">
            <v>96009.68033448777</v>
          </cell>
          <cell r="P2019">
            <v>28217.22425061771</v>
          </cell>
          <cell r="Q2019">
            <v>28499.396493123884</v>
          </cell>
          <cell r="R2019">
            <v>28784.390458055124</v>
          </cell>
          <cell r="S2019">
            <v>29072.234362635674</v>
          </cell>
          <cell r="T2019">
            <v>114573.24556443239</v>
          </cell>
          <cell r="U2019">
            <v>115718.97802007671</v>
          </cell>
          <cell r="V2019">
            <v>116876.1678002775</v>
          </cell>
          <cell r="W2019">
            <v>118044.92947828028</v>
          </cell>
        </row>
        <row r="2020">
          <cell r="A2020" t="str">
            <v>Eka</v>
          </cell>
          <cell r="C2020">
            <v>20315.740608868338</v>
          </cell>
          <cell r="D2020">
            <v>35552.546065519586</v>
          </cell>
          <cell r="E2020">
            <v>37330.173368795571</v>
          </cell>
          <cell r="F2020">
            <v>39196.682037235347</v>
          </cell>
          <cell r="G2020">
            <v>28809.561297367982</v>
          </cell>
          <cell r="H2020">
            <v>43214.341946051973</v>
          </cell>
          <cell r="I2020">
            <v>43646.48536551249</v>
          </cell>
          <cell r="J2020">
            <v>44082.950219167615</v>
          </cell>
          <cell r="K2020">
            <v>44523.7797213593</v>
          </cell>
          <cell r="L2020">
            <v>44969.017518572888</v>
          </cell>
          <cell r="M2020">
            <v>45418.707693758617</v>
          </cell>
          <cell r="N2020">
            <v>45872.894770696206</v>
          </cell>
          <cell r="O2020">
            <v>472932.88061290595</v>
          </cell>
          <cell r="P2020">
            <v>138994.87115520952</v>
          </cell>
          <cell r="Q2020">
            <v>140384.81986676159</v>
          </cell>
          <cell r="R2020">
            <v>141788.6680654292</v>
          </cell>
          <cell r="S2020">
            <v>143206.55474608351</v>
          </cell>
          <cell r="T2020">
            <v>564374.91383348382</v>
          </cell>
          <cell r="U2020">
            <v>570018.6629718187</v>
          </cell>
          <cell r="V2020">
            <v>575718.84960153687</v>
          </cell>
          <cell r="W2020">
            <v>581476.03809755226</v>
          </cell>
        </row>
        <row r="2021">
          <cell r="A2021" t="str">
            <v>Irk</v>
          </cell>
          <cell r="C2021">
            <v>8625.4774502664368</v>
          </cell>
          <cell r="D2021">
            <v>15094.585537966264</v>
          </cell>
          <cell r="E2021">
            <v>15849.314814864578</v>
          </cell>
          <cell r="F2021">
            <v>16641.780555607806</v>
          </cell>
          <cell r="G2021">
            <v>12231.708708371738</v>
          </cell>
          <cell r="H2021">
            <v>18347.563062557609</v>
          </cell>
          <cell r="I2021">
            <v>18531.038693183185</v>
          </cell>
          <cell r="J2021">
            <v>18716.349080115015</v>
          </cell>
          <cell r="K2021">
            <v>18903.512570916166</v>
          </cell>
          <cell r="L2021">
            <v>19092.54769662533</v>
          </cell>
          <cell r="M2021">
            <v>19283.473173591581</v>
          </cell>
          <cell r="N2021">
            <v>19476.307905327496</v>
          </cell>
          <cell r="O2021">
            <v>200793.65924939318</v>
          </cell>
          <cell r="P2021">
            <v>59013.21295314232</v>
          </cell>
          <cell r="Q2021">
            <v>59603.345082673746</v>
          </cell>
          <cell r="R2021">
            <v>60199.37853350048</v>
          </cell>
          <cell r="S2021">
            <v>60801.372318835478</v>
          </cell>
          <cell r="T2021">
            <v>239617.30888815201</v>
          </cell>
          <cell r="U2021">
            <v>242013.48197703355</v>
          </cell>
          <cell r="V2021">
            <v>244433.61679680389</v>
          </cell>
          <cell r="W2021">
            <v>246877.95296477195</v>
          </cell>
        </row>
        <row r="2022">
          <cell r="A2022" t="str">
            <v>Kha</v>
          </cell>
          <cell r="C2022">
            <v>7373.8253527636625</v>
          </cell>
          <cell r="D2022">
            <v>12904.194367336409</v>
          </cell>
          <cell r="E2022">
            <v>13549.404085703229</v>
          </cell>
          <cell r="F2022">
            <v>14226.874289988391</v>
          </cell>
          <cell r="G2022">
            <v>10456.752603141467</v>
          </cell>
          <cell r="H2022">
            <v>15685.128904712203</v>
          </cell>
          <cell r="I2022">
            <v>15841.980193759324</v>
          </cell>
          <cell r="J2022">
            <v>16000.399995696918</v>
          </cell>
          <cell r="K2022">
            <v>16160.403995653887</v>
          </cell>
          <cell r="L2022">
            <v>16322.008035610426</v>
          </cell>
          <cell r="M2022">
            <v>16485.228115966529</v>
          </cell>
          <cell r="N2022">
            <v>16650.080397126196</v>
          </cell>
          <cell r="O2022">
            <v>171656.28033745865</v>
          </cell>
          <cell r="P2022">
            <v>50449.743603292372</v>
          </cell>
          <cell r="Q2022">
            <v>50954.241039325301</v>
          </cell>
          <cell r="R2022">
            <v>51463.783449718547</v>
          </cell>
          <cell r="S2022">
            <v>51978.421284215736</v>
          </cell>
          <cell r="T2022">
            <v>204846.18937655195</v>
          </cell>
          <cell r="U2022">
            <v>206894.6512703175</v>
          </cell>
          <cell r="V2022">
            <v>208963.59778302067</v>
          </cell>
          <cell r="W2022">
            <v>211053.23376085088</v>
          </cell>
        </row>
        <row r="2023">
          <cell r="A2023" t="str">
            <v>Kra</v>
          </cell>
          <cell r="C2023">
            <v>8100.4026786122167</v>
          </cell>
          <cell r="D2023">
            <v>14175.70468757138</v>
          </cell>
          <cell r="E2023">
            <v>14884.489921949949</v>
          </cell>
          <cell r="F2023">
            <v>15628.714418047446</v>
          </cell>
          <cell r="G2023">
            <v>11487.105097264874</v>
          </cell>
          <cell r="H2023">
            <v>17230.65764589731</v>
          </cell>
          <cell r="I2023">
            <v>17402.964222356284</v>
          </cell>
          <cell r="J2023">
            <v>17576.993864579847</v>
          </cell>
          <cell r="K2023">
            <v>17752.763803225647</v>
          </cell>
          <cell r="L2023">
            <v>17930.291441257901</v>
          </cell>
          <cell r="M2023">
            <v>18109.594355670481</v>
          </cell>
          <cell r="N2023">
            <v>18290.690299227186</v>
          </cell>
          <cell r="O2023">
            <v>188570.37243566051</v>
          </cell>
          <cell r="P2023">
            <v>55420.791606658378</v>
          </cell>
          <cell r="Q2023">
            <v>55974.99952272496</v>
          </cell>
          <cell r="R2023">
            <v>56534.749517952208</v>
          </cell>
          <cell r="S2023">
            <v>57100.09701313173</v>
          </cell>
          <cell r="T2023">
            <v>225030.6376604673</v>
          </cell>
          <cell r="U2023">
            <v>227280.94403707195</v>
          </cell>
          <cell r="V2023">
            <v>229553.75347744269</v>
          </cell>
          <cell r="W2023">
            <v>231849.29101221712</v>
          </cell>
        </row>
        <row r="2024">
          <cell r="A2024" t="str">
            <v>Niz</v>
          </cell>
          <cell r="C2024">
            <v>17207.928751279786</v>
          </cell>
          <cell r="D2024">
            <v>30113.875314739624</v>
          </cell>
          <cell r="E2024">
            <v>31619.569080476605</v>
          </cell>
          <cell r="F2024">
            <v>33200.547534500438</v>
          </cell>
          <cell r="G2024">
            <v>24402.402437857821</v>
          </cell>
          <cell r="H2024">
            <v>36603.603656786734</v>
          </cell>
          <cell r="I2024">
            <v>36969.639693354598</v>
          </cell>
          <cell r="J2024">
            <v>37339.336090288147</v>
          </cell>
          <cell r="K2024">
            <v>37712.72945119103</v>
          </cell>
          <cell r="L2024">
            <v>38089.856745702942</v>
          </cell>
          <cell r="M2024">
            <v>38470.755313159971</v>
          </cell>
          <cell r="N2024">
            <v>38855.462866291571</v>
          </cell>
          <cell r="O2024">
            <v>400585.70693562925</v>
          </cell>
          <cell r="P2024">
            <v>117732.05248486345</v>
          </cell>
          <cell r="Q2024">
            <v>118909.37300971209</v>
          </cell>
          <cell r="R2024">
            <v>120098.46673980921</v>
          </cell>
          <cell r="S2024">
            <v>121299.45140720729</v>
          </cell>
          <cell r="T2024">
            <v>478039.34364159202</v>
          </cell>
          <cell r="U2024">
            <v>482819.73707800801</v>
          </cell>
          <cell r="V2024">
            <v>487647.93444878812</v>
          </cell>
          <cell r="W2024">
            <v>492524.41379327601</v>
          </cell>
        </row>
        <row r="2025">
          <cell r="A2025" t="str">
            <v>Nov</v>
          </cell>
          <cell r="C2025">
            <v>32329.965361846436</v>
          </cell>
          <cell r="D2025">
            <v>56577.439383231263</v>
          </cell>
          <cell r="E2025">
            <v>59406.311352392826</v>
          </cell>
          <cell r="F2025">
            <v>62376.626920012466</v>
          </cell>
          <cell r="G2025">
            <v>45846.820786209166</v>
          </cell>
          <cell r="H2025">
            <v>68770.231179313749</v>
          </cell>
          <cell r="I2025">
            <v>69457.933491106887</v>
          </cell>
          <cell r="J2025">
            <v>70152.512826017963</v>
          </cell>
          <cell r="K2025">
            <v>70854.037954278145</v>
          </cell>
          <cell r="L2025">
            <v>71562.578333820929</v>
          </cell>
          <cell r="M2025">
            <v>72278.204117159126</v>
          </cell>
          <cell r="N2025">
            <v>73000.986158330721</v>
          </cell>
          <cell r="O2025">
            <v>752613.64786371961</v>
          </cell>
          <cell r="P2025">
            <v>221192.98805974211</v>
          </cell>
          <cell r="Q2025">
            <v>223404.91794033951</v>
          </cell>
          <cell r="R2025">
            <v>225638.96711974291</v>
          </cell>
          <cell r="S2025">
            <v>227895.35679094034</v>
          </cell>
          <cell r="T2025">
            <v>898132.22991076484</v>
          </cell>
          <cell r="U2025">
            <v>907113.55220987252</v>
          </cell>
          <cell r="V2025">
            <v>916184.68773197127</v>
          </cell>
          <cell r="W2025">
            <v>925346.534609291</v>
          </cell>
        </row>
        <row r="2026">
          <cell r="A2026" t="str">
            <v>Syk</v>
          </cell>
          <cell r="C2026">
            <v>4102.4751903217393</v>
          </cell>
          <cell r="D2026">
            <v>7179.3315830630445</v>
          </cell>
          <cell r="E2026">
            <v>7538.2981622161969</v>
          </cell>
          <cell r="F2026">
            <v>7915.2130703270068</v>
          </cell>
          <cell r="G2026">
            <v>5817.6816066903502</v>
          </cell>
          <cell r="H2026">
            <v>8726.5224100355263</v>
          </cell>
          <cell r="I2026">
            <v>8813.7876341358806</v>
          </cell>
          <cell r="J2026">
            <v>8901.9255104772401</v>
          </cell>
          <cell r="K2026">
            <v>8990.9447655820131</v>
          </cell>
          <cell r="L2026">
            <v>9080.8542132378316</v>
          </cell>
          <cell r="M2026">
            <v>9171.662755370211</v>
          </cell>
          <cell r="N2026">
            <v>9263.379382923913</v>
          </cell>
          <cell r="O2026">
            <v>95502.076284380964</v>
          </cell>
          <cell r="P2026">
            <v>28068.039530259459</v>
          </cell>
          <cell r="Q2026">
            <v>28348.719925562051</v>
          </cell>
          <cell r="R2026">
            <v>28632.207124817669</v>
          </cell>
          <cell r="S2026">
            <v>28918.529196065847</v>
          </cell>
          <cell r="T2026">
            <v>113967.49577670502</v>
          </cell>
          <cell r="U2026">
            <v>115107.17073447208</v>
          </cell>
          <cell r="V2026">
            <v>116258.24244181681</v>
          </cell>
          <cell r="W2026">
            <v>117420.82486623498</v>
          </cell>
        </row>
        <row r="2027">
          <cell r="A2027" t="str">
            <v>Tyu</v>
          </cell>
          <cell r="C2027">
            <v>2257.2179838928555</v>
          </cell>
          <cell r="D2027">
            <v>3950.1314718124968</v>
          </cell>
          <cell r="E2027">
            <v>4147.6380454031214</v>
          </cell>
          <cell r="F2027">
            <v>4355.0199476732778</v>
          </cell>
          <cell r="G2027">
            <v>3200.9396615398596</v>
          </cell>
          <cell r="H2027">
            <v>4801.4094923097891</v>
          </cell>
          <cell r="I2027">
            <v>4849.4235872328873</v>
          </cell>
          <cell r="J2027">
            <v>4897.9178231052165</v>
          </cell>
          <cell r="K2027">
            <v>4946.8970013362687</v>
          </cell>
          <cell r="L2027">
            <v>4996.3659713496309</v>
          </cell>
          <cell r="M2027">
            <v>5046.3296310631276</v>
          </cell>
          <cell r="N2027">
            <v>5096.7929273737591</v>
          </cell>
          <cell r="O2027">
            <v>52546.083544092289</v>
          </cell>
          <cell r="P2027">
            <v>15443.28256994249</v>
          </cell>
          <cell r="Q2027">
            <v>15597.715395641915</v>
          </cell>
          <cell r="R2027">
            <v>15753.692549598332</v>
          </cell>
          <cell r="S2027">
            <v>15911.229475094317</v>
          </cell>
          <cell r="T2027">
            <v>62705.919990277056</v>
          </cell>
          <cell r="U2027">
            <v>63332.979190179823</v>
          </cell>
          <cell r="V2027">
            <v>63966.308982081631</v>
          </cell>
          <cell r="W2027">
            <v>64605.972071902441</v>
          </cell>
        </row>
        <row r="2028">
          <cell r="A2028" t="str">
            <v>Ufa</v>
          </cell>
          <cell r="C2028">
            <v>13051.719546506221</v>
          </cell>
          <cell r="D2028">
            <v>22840.509206385887</v>
          </cell>
          <cell r="E2028">
            <v>23982.534666705182</v>
          </cell>
          <cell r="F2028">
            <v>25181.661400040441</v>
          </cell>
          <cell r="G2028">
            <v>18508.521129029727</v>
          </cell>
          <cell r="H2028">
            <v>27762.781693544588</v>
          </cell>
          <cell r="I2028">
            <v>28040.409510480033</v>
          </cell>
          <cell r="J2028">
            <v>28320.813605584834</v>
          </cell>
          <cell r="K2028">
            <v>28604.021741640685</v>
          </cell>
          <cell r="L2028">
            <v>28890.06195905709</v>
          </cell>
          <cell r="M2028">
            <v>29178.962578647661</v>
          </cell>
          <cell r="N2028">
            <v>29470.752204434139</v>
          </cell>
          <cell r="O2028">
            <v>303832.74924205651</v>
          </cell>
          <cell r="P2028">
            <v>89296.379179435447</v>
          </cell>
          <cell r="Q2028">
            <v>90189.342971229795</v>
          </cell>
          <cell r="R2028">
            <v>91091.236400942085</v>
          </cell>
          <cell r="S2028">
            <v>92002.148764951504</v>
          </cell>
          <cell r="T2028">
            <v>362579.10731655883</v>
          </cell>
          <cell r="U2028">
            <v>366204.89838972443</v>
          </cell>
          <cell r="V2028">
            <v>369866.94737362169</v>
          </cell>
          <cell r="W2028">
            <v>373565.61684735795</v>
          </cell>
        </row>
        <row r="2029">
          <cell r="A2029" t="str">
            <v>Vla</v>
          </cell>
          <cell r="C2029">
            <v>16512.890955652951</v>
          </cell>
          <cell r="D2029">
            <v>28897.559172392666</v>
          </cell>
          <cell r="E2029">
            <v>30342.437131012299</v>
          </cell>
          <cell r="F2029">
            <v>31859.558987562912</v>
          </cell>
          <cell r="G2029">
            <v>23416.775855858741</v>
          </cell>
          <cell r="H2029">
            <v>35125.163783788114</v>
          </cell>
          <cell r="I2029">
            <v>35476.415421625992</v>
          </cell>
          <cell r="J2029">
            <v>35831.179575842252</v>
          </cell>
          <cell r="K2029">
            <v>36189.491371600678</v>
          </cell>
          <cell r="L2029">
            <v>36551.386285316687</v>
          </cell>
          <cell r="M2029">
            <v>36916.900148169851</v>
          </cell>
          <cell r="N2029">
            <v>37286.06914965155</v>
          </cell>
          <cell r="O2029">
            <v>384405.82783847465</v>
          </cell>
          <cell r="P2029">
            <v>112976.78952344421</v>
          </cell>
          <cell r="Q2029">
            <v>114106.55741867865</v>
          </cell>
          <cell r="R2029">
            <v>115247.62299286544</v>
          </cell>
          <cell r="S2029">
            <v>116400.09922279409</v>
          </cell>
          <cell r="T2029">
            <v>458731.06915778236</v>
          </cell>
          <cell r="U2029">
            <v>463318.37984936021</v>
          </cell>
          <cell r="V2029">
            <v>467951.56364785385</v>
          </cell>
          <cell r="W2029">
            <v>472631.0792843324</v>
          </cell>
        </row>
        <row r="2030">
          <cell r="A2030" t="str">
            <v>Vol</v>
          </cell>
          <cell r="C2030">
            <v>1850.3191063410127</v>
          </cell>
          <cell r="D2030">
            <v>3238.0584360967719</v>
          </cell>
          <cell r="E2030">
            <v>3399.9613579016104</v>
          </cell>
          <cell r="F2030">
            <v>3569.959425796691</v>
          </cell>
          <cell r="G2030">
            <v>2623.9201779605683</v>
          </cell>
          <cell r="H2030">
            <v>3935.8802669408524</v>
          </cell>
          <cell r="I2030">
            <v>3975.2390696102607</v>
          </cell>
          <cell r="J2030">
            <v>4014.9914603063635</v>
          </cell>
          <cell r="K2030">
            <v>4055.1413749094272</v>
          </cell>
          <cell r="L2030">
            <v>4095.6927886585213</v>
          </cell>
          <cell r="M2030">
            <v>4136.6497165451065</v>
          </cell>
          <cell r="N2030">
            <v>4178.0162137105581</v>
          </cell>
          <cell r="O2030">
            <v>43073.829394777742</v>
          </cell>
          <cell r="P2030">
            <v>12659.389127542991</v>
          </cell>
          <cell r="Q2030">
            <v>12785.983018818421</v>
          </cell>
          <cell r="R2030">
            <v>12913.842849006604</v>
          </cell>
          <cell r="S2030">
            <v>13042.98127749667</v>
          </cell>
          <cell r="T2030">
            <v>51402.19627286469</v>
          </cell>
          <cell r="U2030">
            <v>51916.218235593333</v>
          </cell>
          <cell r="V2030">
            <v>52435.380417949273</v>
          </cell>
          <cell r="W2030">
            <v>52959.734222128762</v>
          </cell>
        </row>
        <row r="2031">
          <cell r="A2031" t="str">
            <v>Vor</v>
          </cell>
          <cell r="C2031">
            <v>9047.7567160128237</v>
          </cell>
          <cell r="D2031">
            <v>15833.574253022442</v>
          </cell>
          <cell r="E2031">
            <v>16625.252965673564</v>
          </cell>
          <cell r="F2031">
            <v>17456.515613957243</v>
          </cell>
          <cell r="G2031">
            <v>12830.538976258573</v>
          </cell>
          <cell r="H2031">
            <v>19245.808464387861</v>
          </cell>
          <cell r="I2031">
            <v>19438.266549031738</v>
          </cell>
          <cell r="J2031">
            <v>19632.649214522055</v>
          </cell>
          <cell r="K2031">
            <v>19828.975706667279</v>
          </cell>
          <cell r="L2031">
            <v>20027.265463733951</v>
          </cell>
          <cell r="M2031">
            <v>20227.538118371289</v>
          </cell>
          <cell r="N2031">
            <v>20429.813499555003</v>
          </cell>
          <cell r="O2031">
            <v>210623.95554119383</v>
          </cell>
          <cell r="P2031">
            <v>61902.334903651659</v>
          </cell>
          <cell r="Q2031">
            <v>62521.35825268818</v>
          </cell>
          <cell r="R2031">
            <v>63146.571835215058</v>
          </cell>
          <cell r="S2031">
            <v>63778.037553567206</v>
          </cell>
          <cell r="T2031">
            <v>251348.3025451221</v>
          </cell>
          <cell r="U2031">
            <v>253861.78557057332</v>
          </cell>
          <cell r="V2031">
            <v>256400.40342627908</v>
          </cell>
          <cell r="W2031">
            <v>258964.40746054187</v>
          </cell>
        </row>
        <row r="2032">
          <cell r="A2032" t="str">
            <v>97#1</v>
          </cell>
        </row>
        <row r="2033">
          <cell r="A2033" t="str">
            <v>97#2</v>
          </cell>
        </row>
        <row r="2034">
          <cell r="A2034" t="str">
            <v>98#1</v>
          </cell>
        </row>
        <row r="2036">
          <cell r="A2036" t="str">
            <v>Sovintel Incoming Tariff</v>
          </cell>
        </row>
        <row r="2037">
          <cell r="B2037">
            <v>35765</v>
          </cell>
          <cell r="C2037">
            <v>35796</v>
          </cell>
          <cell r="D2037">
            <v>35827</v>
          </cell>
          <cell r="E2037">
            <v>35855</v>
          </cell>
          <cell r="F2037">
            <v>35886</v>
          </cell>
          <cell r="G2037">
            <v>35916</v>
          </cell>
          <cell r="H2037">
            <v>35947</v>
          </cell>
          <cell r="I2037">
            <v>35977</v>
          </cell>
          <cell r="J2037">
            <v>36008</v>
          </cell>
          <cell r="K2037">
            <v>36039</v>
          </cell>
          <cell r="L2037">
            <v>36069</v>
          </cell>
          <cell r="M2037">
            <v>36100</v>
          </cell>
          <cell r="N2037">
            <v>36130</v>
          </cell>
          <cell r="O2037" t="str">
            <v>Total 98</v>
          </cell>
          <cell r="P2037" t="str">
            <v>Q1-99</v>
          </cell>
          <cell r="Q2037" t="str">
            <v>Q2-99</v>
          </cell>
          <cell r="R2037" t="str">
            <v>Q3-99</v>
          </cell>
          <cell r="S2037" t="str">
            <v>Q4-99</v>
          </cell>
          <cell r="T2037" t="str">
            <v>Total 99</v>
          </cell>
          <cell r="U2037">
            <v>2000</v>
          </cell>
          <cell r="V2037">
            <v>2001</v>
          </cell>
          <cell r="W2037">
            <v>2002</v>
          </cell>
        </row>
        <row r="2038">
          <cell r="A2038" t="str">
            <v>Ark</v>
          </cell>
          <cell r="C2038">
            <v>0.14199999999999999</v>
          </cell>
          <cell r="D2038">
            <v>0.14199999999999999</v>
          </cell>
          <cell r="E2038">
            <v>0.14199999999999999</v>
          </cell>
          <cell r="F2038">
            <v>0.14199999999999999</v>
          </cell>
          <cell r="G2038">
            <v>0.14199999999999999</v>
          </cell>
          <cell r="H2038">
            <v>0.14199999999999999</v>
          </cell>
          <cell r="I2038">
            <v>0.14199999999999999</v>
          </cell>
          <cell r="J2038">
            <v>0.14199999999999999</v>
          </cell>
          <cell r="K2038">
            <v>0.14199999999999999</v>
          </cell>
          <cell r="L2038">
            <v>0.14199999999999999</v>
          </cell>
          <cell r="M2038">
            <v>0.14199999999999999</v>
          </cell>
          <cell r="N2038">
            <v>0.14199999999999999</v>
          </cell>
          <cell r="P2038">
            <v>0.14199999999999999</v>
          </cell>
          <cell r="Q2038">
            <v>0.14199999999999999</v>
          </cell>
          <cell r="R2038">
            <v>0.14199999999999999</v>
          </cell>
          <cell r="S2038">
            <v>0.14199999999999999</v>
          </cell>
          <cell r="U2038">
            <v>0.14199999999999999</v>
          </cell>
          <cell r="V2038">
            <v>0.14199999999999999</v>
          </cell>
          <cell r="W2038">
            <v>0.14199999999999999</v>
          </cell>
        </row>
        <row r="2039">
          <cell r="A2039" t="str">
            <v>Eka</v>
          </cell>
          <cell r="C2039">
            <v>0.14199999999999999</v>
          </cell>
          <cell r="D2039">
            <v>0.14199999999999999</v>
          </cell>
          <cell r="E2039">
            <v>0.14199999999999999</v>
          </cell>
          <cell r="F2039">
            <v>0.14199999999999999</v>
          </cell>
          <cell r="G2039">
            <v>0.14199999999999999</v>
          </cell>
          <cell r="H2039">
            <v>0.14199999999999999</v>
          </cell>
          <cell r="I2039">
            <v>0.14199999999999999</v>
          </cell>
          <cell r="J2039">
            <v>0.14199999999999999</v>
          </cell>
          <cell r="K2039">
            <v>0.14199999999999999</v>
          </cell>
          <cell r="L2039">
            <v>0.14199999999999999</v>
          </cell>
          <cell r="M2039">
            <v>0.14199999999999999</v>
          </cell>
          <cell r="N2039">
            <v>0.14199999999999999</v>
          </cell>
          <cell r="P2039">
            <v>0.14199999999999999</v>
          </cell>
          <cell r="Q2039">
            <v>0.14199999999999999</v>
          </cell>
          <cell r="R2039">
            <v>0.14199999999999999</v>
          </cell>
          <cell r="S2039">
            <v>0.14199999999999999</v>
          </cell>
          <cell r="U2039">
            <v>0.14199999999999999</v>
          </cell>
          <cell r="V2039">
            <v>0.14199999999999999</v>
          </cell>
          <cell r="W2039">
            <v>0.14199999999999999</v>
          </cell>
        </row>
        <row r="2040">
          <cell r="A2040" t="str">
            <v>Irk</v>
          </cell>
          <cell r="C2040">
            <v>0.14199999999999999</v>
          </cell>
          <cell r="D2040">
            <v>0.14199999999999999</v>
          </cell>
          <cell r="E2040">
            <v>0.14199999999999999</v>
          </cell>
          <cell r="F2040">
            <v>0.14199999999999999</v>
          </cell>
          <cell r="G2040">
            <v>0.14199999999999999</v>
          </cell>
          <cell r="H2040">
            <v>0.14199999999999999</v>
          </cell>
          <cell r="I2040">
            <v>0.14199999999999999</v>
          </cell>
          <cell r="J2040">
            <v>0.14199999999999999</v>
          </cell>
          <cell r="K2040">
            <v>0.14199999999999999</v>
          </cell>
          <cell r="L2040">
            <v>0.14199999999999999</v>
          </cell>
          <cell r="M2040">
            <v>0.14199999999999999</v>
          </cell>
          <cell r="N2040">
            <v>0.14199999999999999</v>
          </cell>
          <cell r="P2040">
            <v>0.14199999999999999</v>
          </cell>
          <cell r="Q2040">
            <v>0.14199999999999999</v>
          </cell>
          <cell r="R2040">
            <v>0.14199999999999999</v>
          </cell>
          <cell r="S2040">
            <v>0.14199999999999999</v>
          </cell>
          <cell r="U2040">
            <v>0.14199999999999999</v>
          </cell>
          <cell r="V2040">
            <v>0.14199999999999999</v>
          </cell>
          <cell r="W2040">
            <v>0.14199999999999999</v>
          </cell>
        </row>
        <row r="2041">
          <cell r="A2041" t="str">
            <v>Kha</v>
          </cell>
          <cell r="C2041">
            <v>0.14199999999999999</v>
          </cell>
          <cell r="D2041">
            <v>0.14199999999999999</v>
          </cell>
          <cell r="E2041">
            <v>0.14199999999999999</v>
          </cell>
          <cell r="F2041">
            <v>0.14199999999999999</v>
          </cell>
          <cell r="G2041">
            <v>0.14199999999999999</v>
          </cell>
          <cell r="H2041">
            <v>0.14199999999999999</v>
          </cell>
          <cell r="I2041">
            <v>0.14199999999999999</v>
          </cell>
          <cell r="J2041">
            <v>0.14199999999999999</v>
          </cell>
          <cell r="K2041">
            <v>0.14199999999999999</v>
          </cell>
          <cell r="L2041">
            <v>0.14199999999999999</v>
          </cell>
          <cell r="M2041">
            <v>0.14199999999999999</v>
          </cell>
          <cell r="N2041">
            <v>0.14199999999999999</v>
          </cell>
          <cell r="P2041">
            <v>0.14199999999999999</v>
          </cell>
          <cell r="Q2041">
            <v>0.14199999999999999</v>
          </cell>
          <cell r="R2041">
            <v>0.14199999999999999</v>
          </cell>
          <cell r="S2041">
            <v>0.14199999999999999</v>
          </cell>
          <cell r="U2041">
            <v>0.14199999999999999</v>
          </cell>
          <cell r="V2041">
            <v>0.14199999999999999</v>
          </cell>
          <cell r="W2041">
            <v>0.14199999999999999</v>
          </cell>
        </row>
        <row r="2042">
          <cell r="A2042" t="str">
            <v>Kra</v>
          </cell>
          <cell r="C2042">
            <v>0.14199999999999999</v>
          </cell>
          <cell r="D2042">
            <v>0.14199999999999999</v>
          </cell>
          <cell r="E2042">
            <v>0.14199999999999999</v>
          </cell>
          <cell r="F2042">
            <v>0.14199999999999999</v>
          </cell>
          <cell r="G2042">
            <v>0.14199999999999999</v>
          </cell>
          <cell r="H2042">
            <v>0.14199999999999999</v>
          </cell>
          <cell r="I2042">
            <v>0.14199999999999999</v>
          </cell>
          <cell r="J2042">
            <v>0.14199999999999999</v>
          </cell>
          <cell r="K2042">
            <v>0.14199999999999999</v>
          </cell>
          <cell r="L2042">
            <v>0.14199999999999999</v>
          </cell>
          <cell r="M2042">
            <v>0.14199999999999999</v>
          </cell>
          <cell r="N2042">
            <v>0.14199999999999999</v>
          </cell>
          <cell r="P2042">
            <v>0.14199999999999999</v>
          </cell>
          <cell r="Q2042">
            <v>0.14199999999999999</v>
          </cell>
          <cell r="R2042">
            <v>0.14199999999999999</v>
          </cell>
          <cell r="S2042">
            <v>0.14199999999999999</v>
          </cell>
          <cell r="U2042">
            <v>0.14199999999999999</v>
          </cell>
          <cell r="V2042">
            <v>0.14199999999999999</v>
          </cell>
          <cell r="W2042">
            <v>0.14199999999999999</v>
          </cell>
        </row>
        <row r="2043">
          <cell r="A2043" t="str">
            <v>Niz</v>
          </cell>
          <cell r="C2043">
            <v>0.14199999999999999</v>
          </cell>
          <cell r="D2043">
            <v>0.14199999999999999</v>
          </cell>
          <cell r="E2043">
            <v>0.14199999999999999</v>
          </cell>
          <cell r="F2043">
            <v>0.14199999999999999</v>
          </cell>
          <cell r="G2043">
            <v>0.14199999999999999</v>
          </cell>
          <cell r="H2043">
            <v>0.14199999999999999</v>
          </cell>
          <cell r="I2043">
            <v>0.14199999999999999</v>
          </cell>
          <cell r="J2043">
            <v>0.14199999999999999</v>
          </cell>
          <cell r="K2043">
            <v>0.14199999999999999</v>
          </cell>
          <cell r="L2043">
            <v>0.14199999999999999</v>
          </cell>
          <cell r="M2043">
            <v>0.14199999999999999</v>
          </cell>
          <cell r="N2043">
            <v>0.14199999999999999</v>
          </cell>
          <cell r="P2043">
            <v>0.14199999999999999</v>
          </cell>
          <cell r="Q2043">
            <v>0.14199999999999999</v>
          </cell>
          <cell r="R2043">
            <v>0.14199999999999999</v>
          </cell>
          <cell r="S2043">
            <v>0.14199999999999999</v>
          </cell>
          <cell r="U2043">
            <v>0.14199999999999999</v>
          </cell>
          <cell r="V2043">
            <v>0.14199999999999999</v>
          </cell>
          <cell r="W2043">
            <v>0.14199999999999999</v>
          </cell>
        </row>
        <row r="2044">
          <cell r="A2044" t="str">
            <v>Nov</v>
          </cell>
          <cell r="C2044">
            <v>0.14199999999999999</v>
          </cell>
          <cell r="D2044">
            <v>0.14199999999999999</v>
          </cell>
          <cell r="E2044">
            <v>0.14199999999999999</v>
          </cell>
          <cell r="F2044">
            <v>0.14199999999999999</v>
          </cell>
          <cell r="G2044">
            <v>0.14199999999999999</v>
          </cell>
          <cell r="H2044">
            <v>0.14199999999999999</v>
          </cell>
          <cell r="I2044">
            <v>0.14199999999999999</v>
          </cell>
          <cell r="J2044">
            <v>0.14199999999999999</v>
          </cell>
          <cell r="K2044">
            <v>0.14199999999999999</v>
          </cell>
          <cell r="L2044">
            <v>0.14199999999999999</v>
          </cell>
          <cell r="M2044">
            <v>0.14199999999999999</v>
          </cell>
          <cell r="N2044">
            <v>0.14199999999999999</v>
          </cell>
          <cell r="P2044">
            <v>0.14199999999999999</v>
          </cell>
          <cell r="Q2044">
            <v>0.14199999999999999</v>
          </cell>
          <cell r="R2044">
            <v>0.14199999999999999</v>
          </cell>
          <cell r="S2044">
            <v>0.14199999999999999</v>
          </cell>
          <cell r="U2044">
            <v>0.14199999999999999</v>
          </cell>
          <cell r="V2044">
            <v>0.14199999999999999</v>
          </cell>
          <cell r="W2044">
            <v>0.14199999999999999</v>
          </cell>
        </row>
        <row r="2045">
          <cell r="A2045" t="str">
            <v>Syk</v>
          </cell>
          <cell r="C2045">
            <v>0.14199999999999999</v>
          </cell>
          <cell r="D2045">
            <v>0.14199999999999999</v>
          </cell>
          <cell r="E2045">
            <v>0.14199999999999999</v>
          </cell>
          <cell r="F2045">
            <v>0.14199999999999999</v>
          </cell>
          <cell r="G2045">
            <v>0.14199999999999999</v>
          </cell>
          <cell r="H2045">
            <v>0.14199999999999999</v>
          </cell>
          <cell r="I2045">
            <v>0.14199999999999999</v>
          </cell>
          <cell r="J2045">
            <v>0.14199999999999999</v>
          </cell>
          <cell r="K2045">
            <v>0.14199999999999999</v>
          </cell>
          <cell r="L2045">
            <v>0.14199999999999999</v>
          </cell>
          <cell r="M2045">
            <v>0.14199999999999999</v>
          </cell>
          <cell r="N2045">
            <v>0.14199999999999999</v>
          </cell>
          <cell r="P2045">
            <v>0.14199999999999999</v>
          </cell>
          <cell r="Q2045">
            <v>0.14199999999999999</v>
          </cell>
          <cell r="R2045">
            <v>0.14199999999999999</v>
          </cell>
          <cell r="S2045">
            <v>0.14199999999999999</v>
          </cell>
          <cell r="U2045">
            <v>0.14199999999999999</v>
          </cell>
          <cell r="V2045">
            <v>0.14199999999999999</v>
          </cell>
          <cell r="W2045">
            <v>0.14199999999999999</v>
          </cell>
        </row>
        <row r="2046">
          <cell r="A2046" t="str">
            <v>Tyu</v>
          </cell>
          <cell r="C2046">
            <v>0.14199999999999999</v>
          </cell>
          <cell r="D2046">
            <v>0.14199999999999999</v>
          </cell>
          <cell r="E2046">
            <v>0.14199999999999999</v>
          </cell>
          <cell r="F2046">
            <v>0.14199999999999999</v>
          </cell>
          <cell r="G2046">
            <v>0.14199999999999999</v>
          </cell>
          <cell r="H2046">
            <v>0.14199999999999999</v>
          </cell>
          <cell r="I2046">
            <v>0.14199999999999999</v>
          </cell>
          <cell r="J2046">
            <v>0.14199999999999999</v>
          </cell>
          <cell r="K2046">
            <v>0.14199999999999999</v>
          </cell>
          <cell r="L2046">
            <v>0.14199999999999999</v>
          </cell>
          <cell r="M2046">
            <v>0.14199999999999999</v>
          </cell>
          <cell r="N2046">
            <v>0.14199999999999999</v>
          </cell>
          <cell r="P2046">
            <v>0.14199999999999999</v>
          </cell>
          <cell r="Q2046">
            <v>0.14199999999999999</v>
          </cell>
          <cell r="R2046">
            <v>0.14199999999999999</v>
          </cell>
          <cell r="S2046">
            <v>0.14199999999999999</v>
          </cell>
          <cell r="U2046">
            <v>0.14199999999999999</v>
          </cell>
          <cell r="V2046">
            <v>0.14199999999999999</v>
          </cell>
          <cell r="W2046">
            <v>0.14199999999999999</v>
          </cell>
        </row>
        <row r="2047">
          <cell r="A2047" t="str">
            <v>Ufa</v>
          </cell>
          <cell r="C2047">
            <v>0.14199999999999999</v>
          </cell>
          <cell r="D2047">
            <v>0.14199999999999999</v>
          </cell>
          <cell r="E2047">
            <v>0.14199999999999999</v>
          </cell>
          <cell r="F2047">
            <v>0.14199999999999999</v>
          </cell>
          <cell r="G2047">
            <v>0.14199999999999999</v>
          </cell>
          <cell r="H2047">
            <v>0.14199999999999999</v>
          </cell>
          <cell r="I2047">
            <v>0.14199999999999999</v>
          </cell>
          <cell r="J2047">
            <v>0.14199999999999999</v>
          </cell>
          <cell r="K2047">
            <v>0.14199999999999999</v>
          </cell>
          <cell r="L2047">
            <v>0.14199999999999999</v>
          </cell>
          <cell r="M2047">
            <v>0.14199999999999999</v>
          </cell>
          <cell r="N2047">
            <v>0.14199999999999999</v>
          </cell>
          <cell r="P2047">
            <v>0.14199999999999999</v>
          </cell>
          <cell r="Q2047">
            <v>0.14199999999999999</v>
          </cell>
          <cell r="R2047">
            <v>0.14199999999999999</v>
          </cell>
          <cell r="S2047">
            <v>0.14199999999999999</v>
          </cell>
          <cell r="U2047">
            <v>0.14199999999999999</v>
          </cell>
          <cell r="V2047">
            <v>0.14199999999999999</v>
          </cell>
          <cell r="W2047">
            <v>0.14199999999999999</v>
          </cell>
        </row>
        <row r="2048">
          <cell r="A2048" t="str">
            <v>Vla</v>
          </cell>
          <cell r="C2048">
            <v>0.14199999999999999</v>
          </cell>
          <cell r="D2048">
            <v>0.14199999999999999</v>
          </cell>
          <cell r="E2048">
            <v>0.14199999999999999</v>
          </cell>
          <cell r="F2048">
            <v>0.14199999999999999</v>
          </cell>
          <cell r="G2048">
            <v>0.14199999999999999</v>
          </cell>
          <cell r="H2048">
            <v>0.14199999999999999</v>
          </cell>
          <cell r="I2048">
            <v>0.14199999999999999</v>
          </cell>
          <cell r="J2048">
            <v>0.14199999999999999</v>
          </cell>
          <cell r="K2048">
            <v>0.14199999999999999</v>
          </cell>
          <cell r="L2048">
            <v>0.14199999999999999</v>
          </cell>
          <cell r="M2048">
            <v>0.14199999999999999</v>
          </cell>
          <cell r="N2048">
            <v>0.14199999999999999</v>
          </cell>
          <cell r="P2048">
            <v>0.14199999999999999</v>
          </cell>
          <cell r="Q2048">
            <v>0.14199999999999999</v>
          </cell>
          <cell r="R2048">
            <v>0.14199999999999999</v>
          </cell>
          <cell r="S2048">
            <v>0.14199999999999999</v>
          </cell>
          <cell r="U2048">
            <v>0.14199999999999999</v>
          </cell>
          <cell r="V2048">
            <v>0.14199999999999999</v>
          </cell>
          <cell r="W2048">
            <v>0.14199999999999999</v>
          </cell>
        </row>
        <row r="2049">
          <cell r="A2049" t="str">
            <v>Vol</v>
          </cell>
          <cell r="C2049">
            <v>0.14199999999999999</v>
          </cell>
          <cell r="D2049">
            <v>0.14199999999999999</v>
          </cell>
          <cell r="E2049">
            <v>0.14199999999999999</v>
          </cell>
          <cell r="F2049">
            <v>0.14199999999999999</v>
          </cell>
          <cell r="G2049">
            <v>0.14199999999999999</v>
          </cell>
          <cell r="H2049">
            <v>0.14199999999999999</v>
          </cell>
          <cell r="I2049">
            <v>0.14199999999999999</v>
          </cell>
          <cell r="J2049">
            <v>0.14199999999999999</v>
          </cell>
          <cell r="K2049">
            <v>0.14199999999999999</v>
          </cell>
          <cell r="L2049">
            <v>0.14199999999999999</v>
          </cell>
          <cell r="M2049">
            <v>0.14199999999999999</v>
          </cell>
          <cell r="N2049">
            <v>0.14199999999999999</v>
          </cell>
          <cell r="P2049">
            <v>0.14199999999999999</v>
          </cell>
          <cell r="Q2049">
            <v>0.14199999999999999</v>
          </cell>
          <cell r="R2049">
            <v>0.14199999999999999</v>
          </cell>
          <cell r="S2049">
            <v>0.14199999999999999</v>
          </cell>
          <cell r="U2049">
            <v>0.14199999999999999</v>
          </cell>
          <cell r="V2049">
            <v>0.14199999999999999</v>
          </cell>
          <cell r="W2049">
            <v>0.14199999999999999</v>
          </cell>
        </row>
        <row r="2050">
          <cell r="A2050" t="str">
            <v>Vor</v>
          </cell>
          <cell r="C2050">
            <v>0.14199999999999999</v>
          </cell>
          <cell r="D2050">
            <v>0.14199999999999999</v>
          </cell>
          <cell r="E2050">
            <v>0.14199999999999999</v>
          </cell>
          <cell r="F2050">
            <v>0.14199999999999999</v>
          </cell>
          <cell r="G2050">
            <v>0.14199999999999999</v>
          </cell>
          <cell r="H2050">
            <v>0.14199999999999999</v>
          </cell>
          <cell r="I2050">
            <v>0.14199999999999999</v>
          </cell>
          <cell r="J2050">
            <v>0.14199999999999999</v>
          </cell>
          <cell r="K2050">
            <v>0.14199999999999999</v>
          </cell>
          <cell r="L2050">
            <v>0.14199999999999999</v>
          </cell>
          <cell r="M2050">
            <v>0.14199999999999999</v>
          </cell>
          <cell r="N2050">
            <v>0.14199999999999999</v>
          </cell>
          <cell r="P2050">
            <v>0.14199999999999999</v>
          </cell>
          <cell r="Q2050">
            <v>0.14199999999999999</v>
          </cell>
          <cell r="R2050">
            <v>0.14199999999999999</v>
          </cell>
          <cell r="S2050">
            <v>0.14199999999999999</v>
          </cell>
          <cell r="U2050">
            <v>0.14199999999999999</v>
          </cell>
          <cell r="V2050">
            <v>0.14199999999999999</v>
          </cell>
          <cell r="W2050">
            <v>0.14199999999999999</v>
          </cell>
        </row>
        <row r="2051">
          <cell r="A2051" t="str">
            <v>97#1</v>
          </cell>
          <cell r="C2051">
            <v>0.14199999999999999</v>
          </cell>
          <cell r="D2051">
            <v>0.14199999999999999</v>
          </cell>
          <cell r="E2051">
            <v>0.14199999999999999</v>
          </cell>
          <cell r="F2051">
            <v>0.14199999999999999</v>
          </cell>
          <cell r="G2051">
            <v>0.14199999999999999</v>
          </cell>
          <cell r="H2051">
            <v>0.14199999999999999</v>
          </cell>
          <cell r="I2051">
            <v>0.14199999999999999</v>
          </cell>
          <cell r="J2051">
            <v>0.14199999999999999</v>
          </cell>
          <cell r="K2051">
            <v>0.14199999999999999</v>
          </cell>
          <cell r="L2051">
            <v>0.14199999999999999</v>
          </cell>
          <cell r="M2051">
            <v>0.14199999999999999</v>
          </cell>
          <cell r="N2051">
            <v>0.14199999999999999</v>
          </cell>
          <cell r="P2051">
            <v>0.14199999999999999</v>
          </cell>
          <cell r="Q2051">
            <v>0.14199999999999999</v>
          </cell>
          <cell r="R2051">
            <v>0.14199999999999999</v>
          </cell>
          <cell r="S2051">
            <v>0.14199999999999999</v>
          </cell>
          <cell r="U2051">
            <v>0.14199999999999999</v>
          </cell>
          <cell r="V2051">
            <v>0.14199999999999999</v>
          </cell>
          <cell r="W2051">
            <v>0.14199999999999999</v>
          </cell>
        </row>
        <row r="2052">
          <cell r="A2052" t="str">
            <v>97#2</v>
          </cell>
          <cell r="C2052">
            <v>0.14199999999999999</v>
          </cell>
          <cell r="D2052">
            <v>0.14199999999999999</v>
          </cell>
          <cell r="E2052">
            <v>0.14199999999999999</v>
          </cell>
          <cell r="F2052">
            <v>0.14199999999999999</v>
          </cell>
          <cell r="G2052">
            <v>0.14199999999999999</v>
          </cell>
          <cell r="H2052">
            <v>0.14199999999999999</v>
          </cell>
          <cell r="I2052">
            <v>0.14199999999999999</v>
          </cell>
          <cell r="J2052">
            <v>0.14199999999999999</v>
          </cell>
          <cell r="K2052">
            <v>0.14199999999999999</v>
          </cell>
          <cell r="L2052">
            <v>0.14199999999999999</v>
          </cell>
          <cell r="M2052">
            <v>0.14199999999999999</v>
          </cell>
          <cell r="N2052">
            <v>0.14199999999999999</v>
          </cell>
          <cell r="P2052">
            <v>0.14199999999999999</v>
          </cell>
          <cell r="Q2052">
            <v>0.14199999999999999</v>
          </cell>
          <cell r="R2052">
            <v>0.14199999999999999</v>
          </cell>
          <cell r="S2052">
            <v>0.14199999999999999</v>
          </cell>
          <cell r="U2052">
            <v>0.14199999999999999</v>
          </cell>
          <cell r="V2052">
            <v>0.14199999999999999</v>
          </cell>
          <cell r="W2052">
            <v>0.14199999999999999</v>
          </cell>
        </row>
        <row r="2053">
          <cell r="A2053" t="str">
            <v>98#1</v>
          </cell>
          <cell r="C2053">
            <v>0.14199999999999999</v>
          </cell>
          <cell r="D2053">
            <v>0.14199999999999999</v>
          </cell>
          <cell r="E2053">
            <v>0.14199999999999999</v>
          </cell>
          <cell r="F2053">
            <v>0.14199999999999999</v>
          </cell>
          <cell r="G2053">
            <v>0.14199999999999999</v>
          </cell>
          <cell r="H2053">
            <v>0.14199999999999999</v>
          </cell>
          <cell r="I2053">
            <v>0.14199999999999999</v>
          </cell>
          <cell r="J2053">
            <v>0.14199999999999999</v>
          </cell>
          <cell r="K2053">
            <v>0.14199999999999999</v>
          </cell>
          <cell r="L2053">
            <v>0.14199999999999999</v>
          </cell>
          <cell r="M2053">
            <v>0.14199999999999999</v>
          </cell>
          <cell r="N2053">
            <v>0.14199999999999999</v>
          </cell>
          <cell r="P2053">
            <v>0.14199999999999999</v>
          </cell>
          <cell r="Q2053">
            <v>0.14199999999999999</v>
          </cell>
          <cell r="R2053">
            <v>0.14199999999999999</v>
          </cell>
          <cell r="S2053">
            <v>0.14199999999999999</v>
          </cell>
          <cell r="U2053">
            <v>0.14199999999999999</v>
          </cell>
          <cell r="V2053">
            <v>0.14199999999999999</v>
          </cell>
          <cell r="W2053">
            <v>0.14199999999999999</v>
          </cell>
        </row>
      </sheetData>
      <sheetData sheetId="1"/>
      <sheetData sheetId="2">
        <row r="24">
          <cell r="A24" t="str">
            <v xml:space="preserve">WCD/RCD Number of new lines 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rketing Assumption"/>
      <sheetName val="Financials"/>
      <sheetName val="WorkingCapital"/>
      <sheetName val="OpEx"/>
      <sheetName val="CapEx"/>
      <sheetName val="Financing"/>
      <sheetName val="SW&amp;HW"/>
      <sheetName val="IT Calc"/>
      <sheetName val="Reg_assump"/>
      <sheetName val="Лист1"/>
      <sheetName val="Forma  VC-R"/>
      <sheetName val="Amdocs(VIP) SW&amp;HW"/>
      <sheetName val="Input Data SW&amp;HW"/>
      <sheetName val="Detail IT"/>
      <sheetName val="Compaq IT"/>
      <sheetName val="form_VC-R"/>
      <sheetName val="DCF-10"/>
      <sheetName val="DCF_Forma"/>
      <sheetName val="cons_note "/>
      <sheetName val="Marketing_Assumption"/>
      <sheetName val="IT_Calc"/>
      <sheetName val="Forma__VC-R"/>
      <sheetName val="Amdocs(VIP)_SW&amp;HW"/>
      <sheetName val="Input_Data_SW&amp;HW"/>
      <sheetName val="Detail_IT"/>
      <sheetName val="Compaq_IT"/>
      <sheetName val="cons_note_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C"/>
      <sheetName val="ЦБО"/>
      <sheetName val="PLs"/>
      <sheetName val="Лист1"/>
    </sheetNames>
    <sheetDataSet>
      <sheetData sheetId="0"/>
      <sheetData sheetId="1">
        <row r="1">
          <cell r="A1" t="str">
            <v>0001.Дирекция по продажам - Business Units</v>
          </cell>
        </row>
        <row r="2">
          <cell r="A2" t="str">
            <v>0003.Связи с общественностью - Business Units</v>
          </cell>
        </row>
        <row r="3">
          <cell r="A3" t="str">
            <v>0006.Маркетинг массового рынка - Mobile</v>
          </cell>
        </row>
        <row r="4">
          <cell r="A4" t="str">
            <v>0009.Управление фродом и гарантирование доходов</v>
          </cell>
        </row>
        <row r="5">
          <cell r="A5" t="str">
            <v>0011.Продукты и новые виды бизнеса</v>
          </cell>
        </row>
        <row r="6">
          <cell r="A6" t="str">
            <v>0013.Роуминг</v>
          </cell>
        </row>
        <row r="7">
          <cell r="A7" t="str">
            <v>0019.Юридическая дирекция</v>
          </cell>
        </row>
        <row r="8">
          <cell r="A8" t="str">
            <v>0020.Административная дирекция</v>
          </cell>
        </row>
        <row r="9">
          <cell r="A9" t="str">
            <v>0023.Дирекция по работе с персоналом - Business Units</v>
          </cell>
        </row>
        <row r="10">
          <cell r="A10" t="str">
            <v>0026.Дирекция безопасности</v>
          </cell>
        </row>
        <row r="11">
          <cell r="A11" t="str">
            <v>0028.Межоператорское взаимодействие</v>
          </cell>
        </row>
        <row r="12">
          <cell r="A12" t="str">
            <v>0086.Блок архитектуры и развития</v>
          </cell>
        </row>
        <row r="13">
          <cell r="A13" t="str">
            <v>0087.Управление объединенной эксплуатацией сетей</v>
          </cell>
        </row>
        <row r="14">
          <cell r="A14" t="str">
            <v>0106.Маркетинг и развитие продуктов - Mobile</v>
          </cell>
        </row>
        <row r="15">
          <cell r="A15" t="str">
            <v>0109.Дирекция по поддержке операций - B2C</v>
          </cell>
        </row>
        <row r="16">
          <cell r="A16" t="str">
            <v>0125.Дирекция по развитию корпоративного бизнеса в регионах</v>
          </cell>
        </row>
        <row r="17">
          <cell r="A17" t="str">
            <v>0145.Маркетинг массового рынка - FTTB</v>
          </cell>
        </row>
        <row r="18">
          <cell r="A18" t="str">
            <v>0149.Эксплуатация сетей ШПД</v>
          </cell>
        </row>
        <row r="19">
          <cell r="A19" t="str">
            <v>0150.Продажа услуг ШПД</v>
          </cell>
        </row>
        <row r="20">
          <cell r="A20" t="str">
            <v>0161.Офис - ШПД</v>
          </cell>
        </row>
        <row r="21">
          <cell r="A21" t="str">
            <v>0165.Работа с гос.органами и региональное развитие</v>
          </cell>
        </row>
        <row r="22">
          <cell r="A22" t="str">
            <v>0166. Строительство сетей ШПД</v>
          </cell>
        </row>
        <row r="23">
          <cell r="A23" t="str">
            <v>0170.Клиентские решения</v>
          </cell>
        </row>
        <row r="24">
          <cell r="A24" t="str">
            <v>0172.Маркетинг и развитие продуктов - Main Fix</v>
          </cell>
        </row>
        <row r="25">
          <cell r="A25" t="str">
            <v>0179.Планирование и проектирование фиксированной сети</v>
          </cell>
        </row>
        <row r="26">
          <cell r="A26" t="str">
            <v>0196.Дирекция по развитию брендированной сбытовой сети</v>
          </cell>
        </row>
      </sheetData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C"/>
      <sheetName val="ЦБО"/>
      <sheetName val="PLs"/>
      <sheetName val="Лист1"/>
    </sheetNames>
    <sheetDataSet>
      <sheetData sheetId="0"/>
      <sheetData sheetId="1">
        <row r="1">
          <cell r="A1" t="str">
            <v>0001.Дирекция по продажам - Business Units</v>
          </cell>
        </row>
        <row r="2">
          <cell r="A2" t="str">
            <v>0003.Связи с общественностью - Business Units</v>
          </cell>
        </row>
        <row r="3">
          <cell r="A3" t="str">
            <v>0006.Маркетинг массового рынка - Mobile</v>
          </cell>
        </row>
        <row r="4">
          <cell r="A4" t="str">
            <v>0009.Управление фродом и гарантирование доходов</v>
          </cell>
        </row>
        <row r="5">
          <cell r="A5" t="str">
            <v>0011.Продукты и новые виды бизнеса</v>
          </cell>
        </row>
        <row r="6">
          <cell r="A6" t="str">
            <v>0013.Роуминг</v>
          </cell>
        </row>
        <row r="7">
          <cell r="A7" t="str">
            <v>0019.Юридическая дирекция</v>
          </cell>
        </row>
        <row r="8">
          <cell r="A8" t="str">
            <v>0020.Административная дирекция</v>
          </cell>
        </row>
        <row r="9">
          <cell r="A9" t="str">
            <v>0023.Дирекция по работе с персоналом - Business Units</v>
          </cell>
        </row>
        <row r="10">
          <cell r="A10" t="str">
            <v>0026.Дирекция безопасности</v>
          </cell>
        </row>
        <row r="11">
          <cell r="A11" t="str">
            <v>0028.Межоператорское взаимодействие</v>
          </cell>
        </row>
        <row r="12">
          <cell r="A12" t="str">
            <v>0086.Блок архитектуры и развития</v>
          </cell>
        </row>
        <row r="13">
          <cell r="A13" t="str">
            <v>0087.Управление объединенной эксплуатацией сетей</v>
          </cell>
        </row>
        <row r="14">
          <cell r="A14" t="str">
            <v>0106.Маркетинг и развитие продуктов - Mobile</v>
          </cell>
        </row>
        <row r="15">
          <cell r="A15" t="str">
            <v>0109.Дирекция по поддержке операций - B2C</v>
          </cell>
        </row>
        <row r="16">
          <cell r="A16" t="str">
            <v>0125.Дирекция по развитию корпоративного бизнеса в регионах</v>
          </cell>
        </row>
        <row r="17">
          <cell r="A17" t="str">
            <v>0145.Маркетинг массового рынка - FTTB</v>
          </cell>
        </row>
        <row r="18">
          <cell r="A18" t="str">
            <v>0149.Эксплуатация сетей ШПД</v>
          </cell>
        </row>
        <row r="19">
          <cell r="A19" t="str">
            <v>0150.Продажа услуг ШПД</v>
          </cell>
        </row>
        <row r="20">
          <cell r="A20" t="str">
            <v>0161.Офис - ШПД</v>
          </cell>
        </row>
        <row r="21">
          <cell r="A21" t="str">
            <v>0165.Работа с гос.органами и региональное развитие</v>
          </cell>
        </row>
        <row r="22">
          <cell r="A22" t="str">
            <v>0166. Строительство сетей ШПД</v>
          </cell>
        </row>
        <row r="23">
          <cell r="A23" t="str">
            <v>0170.Клиентские решения</v>
          </cell>
        </row>
        <row r="24">
          <cell r="A24" t="str">
            <v>0172.Маркетинг и развитие продуктов - Main Fix</v>
          </cell>
        </row>
        <row r="25">
          <cell r="A25" t="str">
            <v>0179.Планирование и проектирование фиксированной сети</v>
          </cell>
        </row>
        <row r="26">
          <cell r="A26" t="str">
            <v>0196.Дирекция по развитию брендированной сбытовой сети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rivers "/>
      <sheetName val="Key Drivers GPSI"/>
      <sheetName val="Key_Drivers_"/>
      <sheetName val="Key_Drivers_GPSI"/>
    </sheetNames>
    <sheetDataSet>
      <sheetData sheetId="0" refreshError="1">
        <row r="783">
          <cell r="A783" t="str">
            <v xml:space="preserve">Aggr GTS Average intercity tariff </v>
          </cell>
        </row>
        <row r="784">
          <cell r="B784">
            <v>35765</v>
          </cell>
          <cell r="C784">
            <v>35796</v>
          </cell>
          <cell r="D784">
            <v>35827</v>
          </cell>
          <cell r="E784">
            <v>35855</v>
          </cell>
          <cell r="F784">
            <v>35886</v>
          </cell>
          <cell r="G784">
            <v>35916</v>
          </cell>
          <cell r="H784">
            <v>35947</v>
          </cell>
          <cell r="I784">
            <v>35977</v>
          </cell>
          <cell r="J784">
            <v>36008</v>
          </cell>
          <cell r="K784">
            <v>36039</v>
          </cell>
          <cell r="L784">
            <v>36069</v>
          </cell>
          <cell r="M784">
            <v>36100</v>
          </cell>
          <cell r="N784">
            <v>36130</v>
          </cell>
          <cell r="O784" t="str">
            <v>Total 98</v>
          </cell>
          <cell r="P784" t="str">
            <v>Q1-99</v>
          </cell>
          <cell r="Q784" t="str">
            <v>Q2-99</v>
          </cell>
          <cell r="R784" t="str">
            <v>Q3-99</v>
          </cell>
          <cell r="S784" t="str">
            <v>Q4-99</v>
          </cell>
          <cell r="T784" t="str">
            <v>Total 99</v>
          </cell>
          <cell r="U784">
            <v>2000</v>
          </cell>
          <cell r="V784">
            <v>2001</v>
          </cell>
          <cell r="W784">
            <v>2002</v>
          </cell>
        </row>
        <row r="785">
          <cell r="A785" t="str">
            <v>Ark</v>
          </cell>
          <cell r="C785">
            <v>0.1353</v>
          </cell>
          <cell r="D785">
            <v>0.1353</v>
          </cell>
          <cell r="E785">
            <v>0.1353</v>
          </cell>
          <cell r="F785">
            <v>0.1353</v>
          </cell>
          <cell r="G785">
            <v>0.1353</v>
          </cell>
          <cell r="H785">
            <v>0.1353</v>
          </cell>
          <cell r="I785">
            <v>0.1353</v>
          </cell>
          <cell r="J785">
            <v>0.1353</v>
          </cell>
          <cell r="K785">
            <v>0.1353</v>
          </cell>
          <cell r="L785">
            <v>0.1353</v>
          </cell>
          <cell r="M785">
            <v>0.1353</v>
          </cell>
          <cell r="N785">
            <v>0.1353</v>
          </cell>
          <cell r="P785">
            <v>0.12177</v>
          </cell>
          <cell r="Q785">
            <v>0.12177</v>
          </cell>
          <cell r="R785">
            <v>0.12177</v>
          </cell>
          <cell r="S785">
            <v>0.12177</v>
          </cell>
          <cell r="U785">
            <v>0.10959300000000001</v>
          </cell>
          <cell r="V785">
            <v>9.8633700000000005E-2</v>
          </cell>
          <cell r="W785">
            <v>8.8770330000000008E-2</v>
          </cell>
        </row>
        <row r="786">
          <cell r="A786" t="str">
            <v>Eka</v>
          </cell>
          <cell r="C786">
            <v>0.1353</v>
          </cell>
          <cell r="D786">
            <v>0.1353</v>
          </cell>
          <cell r="E786">
            <v>0.1353</v>
          </cell>
          <cell r="F786">
            <v>0.1353</v>
          </cell>
          <cell r="G786">
            <v>0.1353</v>
          </cell>
          <cell r="H786">
            <v>0.1353</v>
          </cell>
          <cell r="I786">
            <v>0.1353</v>
          </cell>
          <cell r="J786">
            <v>0.1353</v>
          </cell>
          <cell r="K786">
            <v>0.1353</v>
          </cell>
          <cell r="L786">
            <v>0.1353</v>
          </cell>
          <cell r="M786">
            <v>0.1353</v>
          </cell>
          <cell r="N786">
            <v>0.1353</v>
          </cell>
          <cell r="P786">
            <v>0.12177</v>
          </cell>
          <cell r="Q786">
            <v>0.12177</v>
          </cell>
          <cell r="R786">
            <v>0.12177</v>
          </cell>
          <cell r="S786">
            <v>0.12177</v>
          </cell>
          <cell r="U786">
            <v>0.10959300000000001</v>
          </cell>
          <cell r="V786">
            <v>9.8633700000000005E-2</v>
          </cell>
          <cell r="W786">
            <v>8.8770330000000008E-2</v>
          </cell>
        </row>
        <row r="787">
          <cell r="A787" t="str">
            <v>Irk</v>
          </cell>
          <cell r="C787">
            <v>0.1353</v>
          </cell>
          <cell r="D787">
            <v>0.1353</v>
          </cell>
          <cell r="E787">
            <v>0.1353</v>
          </cell>
          <cell r="F787">
            <v>0.1353</v>
          </cell>
          <cell r="G787">
            <v>0.1353</v>
          </cell>
          <cell r="H787">
            <v>0.1353</v>
          </cell>
          <cell r="I787">
            <v>0.1353</v>
          </cell>
          <cell r="J787">
            <v>0.1353</v>
          </cell>
          <cell r="K787">
            <v>0.1353</v>
          </cell>
          <cell r="L787">
            <v>0.1353</v>
          </cell>
          <cell r="M787">
            <v>0.1353</v>
          </cell>
          <cell r="N787">
            <v>0.1353</v>
          </cell>
          <cell r="P787">
            <v>0.12177</v>
          </cell>
          <cell r="Q787">
            <v>0.12177</v>
          </cell>
          <cell r="R787">
            <v>0.12177</v>
          </cell>
          <cell r="S787">
            <v>0.12177</v>
          </cell>
          <cell r="U787">
            <v>0.10959300000000001</v>
          </cell>
          <cell r="V787">
            <v>9.8633700000000005E-2</v>
          </cell>
          <cell r="W787">
            <v>8.8770330000000008E-2</v>
          </cell>
        </row>
        <row r="788">
          <cell r="A788" t="str">
            <v>Kha</v>
          </cell>
          <cell r="C788">
            <v>0.1353</v>
          </cell>
          <cell r="D788">
            <v>0.1353</v>
          </cell>
          <cell r="E788">
            <v>0.1353</v>
          </cell>
          <cell r="F788">
            <v>0.1353</v>
          </cell>
          <cell r="G788">
            <v>0.1353</v>
          </cell>
          <cell r="H788">
            <v>0.1353</v>
          </cell>
          <cell r="I788">
            <v>0.1353</v>
          </cell>
          <cell r="J788">
            <v>0.1353</v>
          </cell>
          <cell r="K788">
            <v>0.1353</v>
          </cell>
          <cell r="L788">
            <v>0.1353</v>
          </cell>
          <cell r="M788">
            <v>0.1353</v>
          </cell>
          <cell r="N788">
            <v>0.1353</v>
          </cell>
          <cell r="P788">
            <v>0.12177</v>
          </cell>
          <cell r="Q788">
            <v>0.12177</v>
          </cell>
          <cell r="R788">
            <v>0.12177</v>
          </cell>
          <cell r="S788">
            <v>0.12177</v>
          </cell>
          <cell r="U788">
            <v>0.10959300000000001</v>
          </cell>
          <cell r="V788">
            <v>9.8633700000000005E-2</v>
          </cell>
          <cell r="W788">
            <v>8.8770330000000008E-2</v>
          </cell>
        </row>
        <row r="789">
          <cell r="A789" t="str">
            <v>Kra</v>
          </cell>
          <cell r="C789">
            <v>0.1353</v>
          </cell>
          <cell r="D789">
            <v>0.1353</v>
          </cell>
          <cell r="E789">
            <v>0.1353</v>
          </cell>
          <cell r="F789">
            <v>0.1353</v>
          </cell>
          <cell r="G789">
            <v>0.1353</v>
          </cell>
          <cell r="H789">
            <v>0.1353</v>
          </cell>
          <cell r="I789">
            <v>0.1353</v>
          </cell>
          <cell r="J789">
            <v>0.1353</v>
          </cell>
          <cell r="K789">
            <v>0.1353</v>
          </cell>
          <cell r="L789">
            <v>0.1353</v>
          </cell>
          <cell r="M789">
            <v>0.1353</v>
          </cell>
          <cell r="N789">
            <v>0.1353</v>
          </cell>
          <cell r="P789">
            <v>0.12177</v>
          </cell>
          <cell r="Q789">
            <v>0.12177</v>
          </cell>
          <cell r="R789">
            <v>0.12177</v>
          </cell>
          <cell r="S789">
            <v>0.12177</v>
          </cell>
          <cell r="U789">
            <v>0.10959300000000001</v>
          </cell>
          <cell r="V789">
            <v>9.8633700000000005E-2</v>
          </cell>
          <cell r="W789">
            <v>8.8770330000000008E-2</v>
          </cell>
        </row>
        <row r="790">
          <cell r="A790" t="str">
            <v>Niz</v>
          </cell>
          <cell r="C790">
            <v>0.1353</v>
          </cell>
          <cell r="D790">
            <v>0.1353</v>
          </cell>
          <cell r="E790">
            <v>0.1353</v>
          </cell>
          <cell r="F790">
            <v>0.1353</v>
          </cell>
          <cell r="G790">
            <v>0.1353</v>
          </cell>
          <cell r="H790">
            <v>0.1353</v>
          </cell>
          <cell r="I790">
            <v>0.1353</v>
          </cell>
          <cell r="J790">
            <v>0.1353</v>
          </cell>
          <cell r="K790">
            <v>0.1353</v>
          </cell>
          <cell r="L790">
            <v>0.1353</v>
          </cell>
          <cell r="M790">
            <v>0.1353</v>
          </cell>
          <cell r="N790">
            <v>0.1353</v>
          </cell>
          <cell r="P790">
            <v>0.12177</v>
          </cell>
          <cell r="Q790">
            <v>0.12177</v>
          </cell>
          <cell r="R790">
            <v>0.12177</v>
          </cell>
          <cell r="S790">
            <v>0.12177</v>
          </cell>
          <cell r="U790">
            <v>0.10959300000000001</v>
          </cell>
          <cell r="V790">
            <v>9.8633700000000005E-2</v>
          </cell>
          <cell r="W790">
            <v>8.8770330000000008E-2</v>
          </cell>
        </row>
        <row r="791">
          <cell r="A791" t="str">
            <v>Nov</v>
          </cell>
          <cell r="C791">
            <v>0.1353</v>
          </cell>
          <cell r="D791">
            <v>0.1353</v>
          </cell>
          <cell r="E791">
            <v>0.1353</v>
          </cell>
          <cell r="F791">
            <v>0.1353</v>
          </cell>
          <cell r="G791">
            <v>0.1353</v>
          </cell>
          <cell r="H791">
            <v>0.1353</v>
          </cell>
          <cell r="I791">
            <v>0.1353</v>
          </cell>
          <cell r="J791">
            <v>0.1353</v>
          </cell>
          <cell r="K791">
            <v>0.1353</v>
          </cell>
          <cell r="L791">
            <v>0.1353</v>
          </cell>
          <cell r="M791">
            <v>0.1353</v>
          </cell>
          <cell r="N791">
            <v>0.1353</v>
          </cell>
          <cell r="P791">
            <v>0.12177</v>
          </cell>
          <cell r="Q791">
            <v>0.12177</v>
          </cell>
          <cell r="R791">
            <v>0.12177</v>
          </cell>
          <cell r="S791">
            <v>0.12177</v>
          </cell>
          <cell r="U791">
            <v>0.10959300000000001</v>
          </cell>
          <cell r="V791">
            <v>9.8633700000000005E-2</v>
          </cell>
          <cell r="W791">
            <v>8.8770330000000008E-2</v>
          </cell>
        </row>
        <row r="792">
          <cell r="A792" t="str">
            <v>Syk</v>
          </cell>
          <cell r="C792">
            <v>0.1353</v>
          </cell>
          <cell r="D792">
            <v>0.1353</v>
          </cell>
          <cell r="E792">
            <v>0.1353</v>
          </cell>
          <cell r="F792">
            <v>0.1353</v>
          </cell>
          <cell r="G792">
            <v>0.1353</v>
          </cell>
          <cell r="H792">
            <v>0.1353</v>
          </cell>
          <cell r="I792">
            <v>0.1353</v>
          </cell>
          <cell r="J792">
            <v>0.1353</v>
          </cell>
          <cell r="K792">
            <v>0.1353</v>
          </cell>
          <cell r="L792">
            <v>0.1353</v>
          </cell>
          <cell r="M792">
            <v>0.1353</v>
          </cell>
          <cell r="N792">
            <v>0.1353</v>
          </cell>
          <cell r="P792">
            <v>0.12177</v>
          </cell>
          <cell r="Q792">
            <v>0.12177</v>
          </cell>
          <cell r="R792">
            <v>0.12177</v>
          </cell>
          <cell r="S792">
            <v>0.12177</v>
          </cell>
          <cell r="U792">
            <v>0.10959300000000001</v>
          </cell>
          <cell r="V792">
            <v>9.8633700000000005E-2</v>
          </cell>
          <cell r="W792">
            <v>8.8770330000000008E-2</v>
          </cell>
        </row>
        <row r="793">
          <cell r="A793" t="str">
            <v>Tyu</v>
          </cell>
          <cell r="C793">
            <v>0.1353</v>
          </cell>
          <cell r="D793">
            <v>0.1353</v>
          </cell>
          <cell r="E793">
            <v>0.1353</v>
          </cell>
          <cell r="F793">
            <v>0.1353</v>
          </cell>
          <cell r="G793">
            <v>0.1353</v>
          </cell>
          <cell r="H793">
            <v>0.1353</v>
          </cell>
          <cell r="I793">
            <v>0.1353</v>
          </cell>
          <cell r="J793">
            <v>0.1353</v>
          </cell>
          <cell r="K793">
            <v>0.1353</v>
          </cell>
          <cell r="L793">
            <v>0.1353</v>
          </cell>
          <cell r="M793">
            <v>0.1353</v>
          </cell>
          <cell r="N793">
            <v>0.1353</v>
          </cell>
          <cell r="P793">
            <v>0.12177</v>
          </cell>
          <cell r="Q793">
            <v>0.12177</v>
          </cell>
          <cell r="R793">
            <v>0.12177</v>
          </cell>
          <cell r="S793">
            <v>0.12177</v>
          </cell>
          <cell r="U793">
            <v>0.10959300000000001</v>
          </cell>
          <cell r="V793">
            <v>9.8633700000000005E-2</v>
          </cell>
          <cell r="W793">
            <v>8.8770330000000008E-2</v>
          </cell>
        </row>
        <row r="794">
          <cell r="A794" t="str">
            <v>Ufa</v>
          </cell>
          <cell r="C794">
            <v>0.1353</v>
          </cell>
          <cell r="D794">
            <v>0.1353</v>
          </cell>
          <cell r="E794">
            <v>0.1353</v>
          </cell>
          <cell r="F794">
            <v>0.1353</v>
          </cell>
          <cell r="G794">
            <v>0.1353</v>
          </cell>
          <cell r="H794">
            <v>0.1353</v>
          </cell>
          <cell r="I794">
            <v>0.1353</v>
          </cell>
          <cell r="J794">
            <v>0.1353</v>
          </cell>
          <cell r="K794">
            <v>0.1353</v>
          </cell>
          <cell r="L794">
            <v>0.1353</v>
          </cell>
          <cell r="M794">
            <v>0.1353</v>
          </cell>
          <cell r="N794">
            <v>0.1353</v>
          </cell>
          <cell r="P794">
            <v>0.12177</v>
          </cell>
          <cell r="Q794">
            <v>0.12177</v>
          </cell>
          <cell r="R794">
            <v>0.12177</v>
          </cell>
          <cell r="S794">
            <v>0.12177</v>
          </cell>
          <cell r="U794">
            <v>0.10959300000000001</v>
          </cell>
          <cell r="V794">
            <v>9.8633700000000005E-2</v>
          </cell>
          <cell r="W794">
            <v>8.8770330000000008E-2</v>
          </cell>
        </row>
        <row r="795">
          <cell r="A795" t="str">
            <v>Vla</v>
          </cell>
          <cell r="C795">
            <v>0.1353</v>
          </cell>
          <cell r="D795">
            <v>0.1353</v>
          </cell>
          <cell r="E795">
            <v>0.1353</v>
          </cell>
          <cell r="F795">
            <v>0.1353</v>
          </cell>
          <cell r="G795">
            <v>0.1353</v>
          </cell>
          <cell r="H795">
            <v>0.1353</v>
          </cell>
          <cell r="I795">
            <v>0.1353</v>
          </cell>
          <cell r="J795">
            <v>0.1353</v>
          </cell>
          <cell r="K795">
            <v>0.1353</v>
          </cell>
          <cell r="L795">
            <v>0.1353</v>
          </cell>
          <cell r="M795">
            <v>0.1353</v>
          </cell>
          <cell r="N795">
            <v>0.1353</v>
          </cell>
          <cell r="P795">
            <v>0.12177</v>
          </cell>
          <cell r="Q795">
            <v>0.12177</v>
          </cell>
          <cell r="R795">
            <v>0.12177</v>
          </cell>
          <cell r="S795">
            <v>0.12177</v>
          </cell>
          <cell r="U795">
            <v>0.10959300000000001</v>
          </cell>
          <cell r="V795">
            <v>9.8633700000000005E-2</v>
          </cell>
          <cell r="W795">
            <v>8.8770330000000008E-2</v>
          </cell>
        </row>
        <row r="796">
          <cell r="A796" t="str">
            <v>Vol</v>
          </cell>
          <cell r="C796">
            <v>0.1353</v>
          </cell>
          <cell r="D796">
            <v>0.1353</v>
          </cell>
          <cell r="E796">
            <v>0.1353</v>
          </cell>
          <cell r="F796">
            <v>0.1353</v>
          </cell>
          <cell r="G796">
            <v>0.1353</v>
          </cell>
          <cell r="H796">
            <v>0.1353</v>
          </cell>
          <cell r="I796">
            <v>0.1353</v>
          </cell>
          <cell r="J796">
            <v>0.1353</v>
          </cell>
          <cell r="K796">
            <v>0.1353</v>
          </cell>
          <cell r="L796">
            <v>0.1353</v>
          </cell>
          <cell r="M796">
            <v>0.1353</v>
          </cell>
          <cell r="N796">
            <v>0.1353</v>
          </cell>
          <cell r="P796">
            <v>0.12177</v>
          </cell>
          <cell r="Q796">
            <v>0.12177</v>
          </cell>
          <cell r="R796">
            <v>0.12177</v>
          </cell>
          <cell r="S796">
            <v>0.12177</v>
          </cell>
          <cell r="U796">
            <v>0.10959300000000001</v>
          </cell>
          <cell r="V796">
            <v>9.8633700000000005E-2</v>
          </cell>
          <cell r="W796">
            <v>8.8770330000000008E-2</v>
          </cell>
        </row>
        <row r="797">
          <cell r="A797" t="str">
            <v>Vor</v>
          </cell>
          <cell r="C797">
            <v>0.1353</v>
          </cell>
          <cell r="D797">
            <v>0.1353</v>
          </cell>
          <cell r="E797">
            <v>0.1353</v>
          </cell>
          <cell r="F797">
            <v>0.1353</v>
          </cell>
          <cell r="G797">
            <v>0.1353</v>
          </cell>
          <cell r="H797">
            <v>0.1353</v>
          </cell>
          <cell r="I797">
            <v>0.1353</v>
          </cell>
          <cell r="J797">
            <v>0.1353</v>
          </cell>
          <cell r="K797">
            <v>0.1353</v>
          </cell>
          <cell r="L797">
            <v>0.1353</v>
          </cell>
          <cell r="M797">
            <v>0.1353</v>
          </cell>
          <cell r="N797">
            <v>0.1353</v>
          </cell>
          <cell r="P797">
            <v>0.12177</v>
          </cell>
          <cell r="Q797">
            <v>0.12177</v>
          </cell>
          <cell r="R797">
            <v>0.12177</v>
          </cell>
          <cell r="S797">
            <v>0.12177</v>
          </cell>
          <cell r="U797">
            <v>0.10959300000000001</v>
          </cell>
          <cell r="V797">
            <v>9.8633700000000005E-2</v>
          </cell>
          <cell r="W797">
            <v>8.8770330000000008E-2</v>
          </cell>
        </row>
        <row r="798">
          <cell r="A798" t="str">
            <v>Mos</v>
          </cell>
        </row>
        <row r="799">
          <cell r="A799" t="str">
            <v>Con</v>
          </cell>
          <cell r="C799">
            <v>0.6</v>
          </cell>
          <cell r="D799">
            <v>0.6</v>
          </cell>
          <cell r="E799">
            <v>0.6</v>
          </cell>
          <cell r="F799">
            <v>0.6</v>
          </cell>
          <cell r="G799">
            <v>0.6</v>
          </cell>
          <cell r="H799">
            <v>0.6</v>
          </cell>
          <cell r="I799">
            <v>0.6</v>
          </cell>
          <cell r="J799">
            <v>0.6</v>
          </cell>
          <cell r="K799">
            <v>0.6</v>
          </cell>
          <cell r="L799">
            <v>0.6</v>
          </cell>
          <cell r="M799">
            <v>0.6</v>
          </cell>
          <cell r="N799">
            <v>0.6</v>
          </cell>
          <cell r="P799">
            <v>0.54</v>
          </cell>
          <cell r="Q799">
            <v>0.54</v>
          </cell>
          <cell r="R799">
            <v>0.54</v>
          </cell>
          <cell r="S799">
            <v>0.54</v>
          </cell>
          <cell r="U799">
            <v>0.48600000000000004</v>
          </cell>
          <cell r="V799">
            <v>0.43740000000000007</v>
          </cell>
          <cell r="W799">
            <v>0.39366000000000007</v>
          </cell>
        </row>
      </sheetData>
      <sheetData sheetId="1" refreshError="1">
        <row r="42">
          <cell r="A42" t="str">
            <v>WCD/RCD Installation fee GPSI</v>
          </cell>
        </row>
        <row r="43">
          <cell r="B43">
            <v>36130</v>
          </cell>
          <cell r="C43">
            <v>36161</v>
          </cell>
          <cell r="D43">
            <v>36192</v>
          </cell>
          <cell r="E43">
            <v>36220</v>
          </cell>
          <cell r="F43">
            <v>36251</v>
          </cell>
          <cell r="G43">
            <v>36281</v>
          </cell>
          <cell r="H43">
            <v>36312</v>
          </cell>
          <cell r="I43">
            <v>36342</v>
          </cell>
          <cell r="J43">
            <v>36373</v>
          </cell>
          <cell r="K43">
            <v>36404</v>
          </cell>
          <cell r="L43">
            <v>36434</v>
          </cell>
          <cell r="M43">
            <v>36465</v>
          </cell>
          <cell r="N43">
            <v>36495</v>
          </cell>
          <cell r="O43" t="str">
            <v>Total 99</v>
          </cell>
          <cell r="P43" t="str">
            <v>Q1-2000</v>
          </cell>
          <cell r="Q43" t="str">
            <v>Q2-2000</v>
          </cell>
          <cell r="R43" t="str">
            <v>Q3-2000</v>
          </cell>
          <cell r="S43" t="str">
            <v>Q4-2000</v>
          </cell>
          <cell r="T43" t="str">
            <v>Total 2000</v>
          </cell>
          <cell r="U43">
            <v>2001</v>
          </cell>
          <cell r="V43">
            <v>2002</v>
          </cell>
          <cell r="W43">
            <v>2003</v>
          </cell>
        </row>
        <row r="44">
          <cell r="A44" t="str">
            <v>Ark</v>
          </cell>
          <cell r="B44">
            <v>400</v>
          </cell>
          <cell r="C44">
            <v>400</v>
          </cell>
          <cell r="D44">
            <v>400</v>
          </cell>
          <cell r="E44">
            <v>400</v>
          </cell>
          <cell r="F44">
            <v>400</v>
          </cell>
          <cell r="G44">
            <v>400</v>
          </cell>
          <cell r="H44">
            <v>400</v>
          </cell>
          <cell r="I44">
            <v>400</v>
          </cell>
          <cell r="J44">
            <v>400</v>
          </cell>
          <cell r="K44">
            <v>400</v>
          </cell>
          <cell r="L44">
            <v>400</v>
          </cell>
          <cell r="M44">
            <v>400</v>
          </cell>
          <cell r="N44">
            <v>400</v>
          </cell>
          <cell r="P44">
            <v>400</v>
          </cell>
          <cell r="Q44">
            <v>400</v>
          </cell>
          <cell r="R44">
            <v>400</v>
          </cell>
          <cell r="S44">
            <v>400</v>
          </cell>
          <cell r="U44">
            <v>400</v>
          </cell>
          <cell r="V44">
            <v>400</v>
          </cell>
          <cell r="W44">
            <v>400</v>
          </cell>
        </row>
        <row r="45">
          <cell r="A45" t="str">
            <v>Eka</v>
          </cell>
          <cell r="B45">
            <v>290</v>
          </cell>
          <cell r="C45">
            <v>290</v>
          </cell>
          <cell r="D45">
            <v>290</v>
          </cell>
          <cell r="E45">
            <v>290</v>
          </cell>
          <cell r="F45">
            <v>290</v>
          </cell>
          <cell r="G45">
            <v>290</v>
          </cell>
          <cell r="H45">
            <v>290</v>
          </cell>
          <cell r="I45">
            <v>290</v>
          </cell>
          <cell r="J45">
            <v>290</v>
          </cell>
          <cell r="K45">
            <v>290</v>
          </cell>
          <cell r="L45">
            <v>290</v>
          </cell>
          <cell r="M45">
            <v>290</v>
          </cell>
          <cell r="N45">
            <v>290</v>
          </cell>
          <cell r="P45">
            <v>290</v>
          </cell>
          <cell r="Q45">
            <v>290</v>
          </cell>
          <cell r="R45">
            <v>290</v>
          </cell>
          <cell r="S45">
            <v>290</v>
          </cell>
          <cell r="U45">
            <v>290</v>
          </cell>
          <cell r="V45">
            <v>290</v>
          </cell>
          <cell r="W45">
            <v>290</v>
          </cell>
        </row>
        <row r="46">
          <cell r="A46" t="str">
            <v>Irk</v>
          </cell>
          <cell r="B46">
            <v>280</v>
          </cell>
          <cell r="C46">
            <v>280</v>
          </cell>
          <cell r="D46">
            <v>280</v>
          </cell>
          <cell r="E46">
            <v>280</v>
          </cell>
          <cell r="F46">
            <v>280</v>
          </cell>
          <cell r="G46">
            <v>280</v>
          </cell>
          <cell r="H46">
            <v>280</v>
          </cell>
          <cell r="I46">
            <v>280</v>
          </cell>
          <cell r="J46">
            <v>280</v>
          </cell>
          <cell r="K46">
            <v>280</v>
          </cell>
          <cell r="L46">
            <v>280</v>
          </cell>
          <cell r="M46">
            <v>280</v>
          </cell>
          <cell r="N46">
            <v>280</v>
          </cell>
          <cell r="P46">
            <v>560</v>
          </cell>
          <cell r="Q46">
            <v>560</v>
          </cell>
          <cell r="R46">
            <v>560</v>
          </cell>
          <cell r="S46">
            <v>560</v>
          </cell>
          <cell r="U46">
            <v>560</v>
          </cell>
          <cell r="V46">
            <v>560</v>
          </cell>
          <cell r="W46">
            <v>560</v>
          </cell>
        </row>
        <row r="47">
          <cell r="A47" t="str">
            <v>Kha</v>
          </cell>
          <cell r="B47">
            <v>600</v>
          </cell>
          <cell r="C47">
            <v>600</v>
          </cell>
          <cell r="D47">
            <v>600</v>
          </cell>
          <cell r="E47">
            <v>600</v>
          </cell>
          <cell r="F47">
            <v>600</v>
          </cell>
          <cell r="G47">
            <v>600</v>
          </cell>
          <cell r="H47">
            <v>600</v>
          </cell>
          <cell r="I47">
            <v>600</v>
          </cell>
          <cell r="J47">
            <v>600</v>
          </cell>
          <cell r="K47">
            <v>600</v>
          </cell>
          <cell r="L47">
            <v>600</v>
          </cell>
          <cell r="M47">
            <v>600</v>
          </cell>
          <cell r="N47">
            <v>600</v>
          </cell>
          <cell r="P47">
            <v>600</v>
          </cell>
          <cell r="Q47">
            <v>600</v>
          </cell>
          <cell r="R47">
            <v>600</v>
          </cell>
          <cell r="S47">
            <v>600</v>
          </cell>
          <cell r="U47">
            <v>600</v>
          </cell>
          <cell r="V47">
            <v>600</v>
          </cell>
          <cell r="W47">
            <v>600</v>
          </cell>
        </row>
        <row r="48">
          <cell r="A48" t="str">
            <v>Kra</v>
          </cell>
          <cell r="B48">
            <v>200</v>
          </cell>
          <cell r="C48">
            <v>200</v>
          </cell>
          <cell r="D48">
            <v>200</v>
          </cell>
          <cell r="E48">
            <v>200</v>
          </cell>
          <cell r="F48">
            <v>200</v>
          </cell>
          <cell r="G48">
            <v>200</v>
          </cell>
          <cell r="H48">
            <v>200</v>
          </cell>
          <cell r="I48">
            <v>200</v>
          </cell>
          <cell r="J48">
            <v>200</v>
          </cell>
          <cell r="K48">
            <v>200</v>
          </cell>
          <cell r="L48">
            <v>200</v>
          </cell>
          <cell r="M48">
            <v>200</v>
          </cell>
          <cell r="N48">
            <v>200</v>
          </cell>
          <cell r="P48">
            <v>400</v>
          </cell>
          <cell r="Q48">
            <v>400</v>
          </cell>
          <cell r="R48">
            <v>400</v>
          </cell>
          <cell r="S48">
            <v>400</v>
          </cell>
          <cell r="U48">
            <v>400</v>
          </cell>
          <cell r="V48">
            <v>400</v>
          </cell>
          <cell r="W48">
            <v>400</v>
          </cell>
        </row>
        <row r="49">
          <cell r="A49" t="str">
            <v>Niz</v>
          </cell>
          <cell r="B49">
            <v>500</v>
          </cell>
          <cell r="C49">
            <v>500</v>
          </cell>
          <cell r="D49">
            <v>500</v>
          </cell>
          <cell r="E49">
            <v>500</v>
          </cell>
          <cell r="F49">
            <v>500</v>
          </cell>
          <cell r="G49">
            <v>500</v>
          </cell>
          <cell r="H49">
            <v>500</v>
          </cell>
          <cell r="I49">
            <v>500</v>
          </cell>
          <cell r="J49">
            <v>500</v>
          </cell>
          <cell r="K49">
            <v>500</v>
          </cell>
          <cell r="L49">
            <v>500</v>
          </cell>
          <cell r="M49">
            <v>500</v>
          </cell>
          <cell r="N49">
            <v>500</v>
          </cell>
          <cell r="P49">
            <v>500</v>
          </cell>
          <cell r="Q49">
            <v>500</v>
          </cell>
          <cell r="R49">
            <v>500</v>
          </cell>
          <cell r="S49">
            <v>500</v>
          </cell>
          <cell r="U49">
            <v>500</v>
          </cell>
          <cell r="V49">
            <v>500</v>
          </cell>
          <cell r="W49">
            <v>500</v>
          </cell>
        </row>
        <row r="50">
          <cell r="A50" t="str">
            <v>Nov</v>
          </cell>
          <cell r="B50">
            <v>125</v>
          </cell>
          <cell r="C50">
            <v>125</v>
          </cell>
          <cell r="D50">
            <v>125</v>
          </cell>
          <cell r="E50">
            <v>125</v>
          </cell>
          <cell r="F50">
            <v>125</v>
          </cell>
          <cell r="G50">
            <v>125</v>
          </cell>
          <cell r="H50">
            <v>125</v>
          </cell>
          <cell r="I50">
            <v>125</v>
          </cell>
          <cell r="J50">
            <v>125</v>
          </cell>
          <cell r="K50">
            <v>125</v>
          </cell>
          <cell r="L50">
            <v>125</v>
          </cell>
          <cell r="M50">
            <v>125</v>
          </cell>
          <cell r="N50">
            <v>125</v>
          </cell>
          <cell r="P50">
            <v>125</v>
          </cell>
          <cell r="Q50">
            <v>125</v>
          </cell>
          <cell r="R50">
            <v>125</v>
          </cell>
          <cell r="S50">
            <v>125</v>
          </cell>
          <cell r="U50">
            <v>125</v>
          </cell>
          <cell r="V50">
            <v>125</v>
          </cell>
          <cell r="W50">
            <v>125</v>
          </cell>
        </row>
        <row r="51">
          <cell r="A51" t="str">
            <v>Syk</v>
          </cell>
          <cell r="B51">
            <v>200</v>
          </cell>
          <cell r="C51">
            <v>200</v>
          </cell>
          <cell r="D51">
            <v>200</v>
          </cell>
          <cell r="E51">
            <v>200</v>
          </cell>
          <cell r="F51">
            <v>200</v>
          </cell>
          <cell r="G51">
            <v>200</v>
          </cell>
          <cell r="H51">
            <v>200</v>
          </cell>
          <cell r="I51">
            <v>200</v>
          </cell>
          <cell r="J51">
            <v>200</v>
          </cell>
          <cell r="K51">
            <v>200</v>
          </cell>
          <cell r="L51">
            <v>200</v>
          </cell>
          <cell r="M51">
            <v>200</v>
          </cell>
          <cell r="N51">
            <v>200</v>
          </cell>
          <cell r="P51">
            <v>400</v>
          </cell>
          <cell r="Q51">
            <v>400</v>
          </cell>
          <cell r="R51">
            <v>400</v>
          </cell>
          <cell r="S51">
            <v>400</v>
          </cell>
          <cell r="U51">
            <v>400</v>
          </cell>
          <cell r="V51">
            <v>400</v>
          </cell>
          <cell r="W51">
            <v>400</v>
          </cell>
        </row>
        <row r="52">
          <cell r="A52" t="str">
            <v>Tyu</v>
          </cell>
          <cell r="B52">
            <v>175</v>
          </cell>
          <cell r="C52">
            <v>175</v>
          </cell>
          <cell r="D52">
            <v>175</v>
          </cell>
          <cell r="E52">
            <v>175</v>
          </cell>
          <cell r="F52">
            <v>175</v>
          </cell>
          <cell r="G52">
            <v>175</v>
          </cell>
          <cell r="H52">
            <v>175</v>
          </cell>
          <cell r="I52">
            <v>175</v>
          </cell>
          <cell r="J52">
            <v>175</v>
          </cell>
          <cell r="K52">
            <v>175</v>
          </cell>
          <cell r="L52">
            <v>175</v>
          </cell>
          <cell r="M52">
            <v>175</v>
          </cell>
          <cell r="N52">
            <v>175</v>
          </cell>
          <cell r="P52">
            <v>350</v>
          </cell>
          <cell r="Q52">
            <v>350</v>
          </cell>
          <cell r="R52">
            <v>350</v>
          </cell>
          <cell r="S52">
            <v>350</v>
          </cell>
          <cell r="U52">
            <v>350</v>
          </cell>
          <cell r="V52">
            <v>350</v>
          </cell>
          <cell r="W52">
            <v>350</v>
          </cell>
        </row>
        <row r="53">
          <cell r="A53" t="str">
            <v>Ufa</v>
          </cell>
          <cell r="B53">
            <v>675</v>
          </cell>
          <cell r="C53">
            <v>675</v>
          </cell>
          <cell r="D53">
            <v>675</v>
          </cell>
          <cell r="E53">
            <v>675</v>
          </cell>
          <cell r="F53">
            <v>675</v>
          </cell>
          <cell r="G53">
            <v>675</v>
          </cell>
          <cell r="H53">
            <v>675</v>
          </cell>
          <cell r="I53">
            <v>675</v>
          </cell>
          <cell r="J53">
            <v>675</v>
          </cell>
          <cell r="K53">
            <v>675</v>
          </cell>
          <cell r="L53">
            <v>675</v>
          </cell>
          <cell r="M53">
            <v>675</v>
          </cell>
          <cell r="N53">
            <v>675</v>
          </cell>
          <cell r="P53">
            <v>675</v>
          </cell>
          <cell r="Q53">
            <v>675</v>
          </cell>
          <cell r="R53">
            <v>675</v>
          </cell>
          <cell r="S53">
            <v>675</v>
          </cell>
          <cell r="U53">
            <v>675</v>
          </cell>
          <cell r="V53">
            <v>675</v>
          </cell>
          <cell r="W53">
            <v>675</v>
          </cell>
        </row>
        <row r="54">
          <cell r="A54" t="str">
            <v>Vla</v>
          </cell>
          <cell r="B54">
            <v>25</v>
          </cell>
          <cell r="C54">
            <v>25</v>
          </cell>
          <cell r="D54">
            <v>25</v>
          </cell>
          <cell r="E54">
            <v>25</v>
          </cell>
          <cell r="F54">
            <v>25</v>
          </cell>
          <cell r="G54">
            <v>25</v>
          </cell>
          <cell r="H54">
            <v>25</v>
          </cell>
          <cell r="I54">
            <v>25</v>
          </cell>
          <cell r="J54">
            <v>25</v>
          </cell>
          <cell r="K54">
            <v>25</v>
          </cell>
          <cell r="L54">
            <v>25</v>
          </cell>
          <cell r="M54">
            <v>25</v>
          </cell>
          <cell r="N54">
            <v>25</v>
          </cell>
          <cell r="P54">
            <v>25</v>
          </cell>
          <cell r="Q54">
            <v>25</v>
          </cell>
          <cell r="R54">
            <v>25</v>
          </cell>
          <cell r="S54">
            <v>25</v>
          </cell>
          <cell r="U54">
            <v>25</v>
          </cell>
          <cell r="V54">
            <v>25</v>
          </cell>
          <cell r="W54">
            <v>25</v>
          </cell>
        </row>
        <row r="55">
          <cell r="A55" t="str">
            <v>Vol</v>
          </cell>
          <cell r="B55">
            <v>300</v>
          </cell>
          <cell r="C55">
            <v>300</v>
          </cell>
          <cell r="D55">
            <v>300</v>
          </cell>
          <cell r="E55">
            <v>300</v>
          </cell>
          <cell r="F55">
            <v>300</v>
          </cell>
          <cell r="G55">
            <v>300</v>
          </cell>
          <cell r="H55">
            <v>300</v>
          </cell>
          <cell r="I55">
            <v>300</v>
          </cell>
          <cell r="J55">
            <v>300</v>
          </cell>
          <cell r="K55">
            <v>300</v>
          </cell>
          <cell r="L55">
            <v>301</v>
          </cell>
          <cell r="M55">
            <v>302</v>
          </cell>
          <cell r="N55">
            <v>303</v>
          </cell>
          <cell r="P55">
            <v>300</v>
          </cell>
          <cell r="Q55">
            <v>300</v>
          </cell>
          <cell r="R55">
            <v>300</v>
          </cell>
          <cell r="S55">
            <v>300</v>
          </cell>
          <cell r="U55">
            <v>300</v>
          </cell>
          <cell r="V55">
            <v>300</v>
          </cell>
          <cell r="W55">
            <v>300</v>
          </cell>
        </row>
        <row r="56">
          <cell r="A56" t="str">
            <v>Vor</v>
          </cell>
          <cell r="B56">
            <v>150</v>
          </cell>
          <cell r="C56">
            <v>150</v>
          </cell>
          <cell r="D56">
            <v>150</v>
          </cell>
          <cell r="E56">
            <v>150</v>
          </cell>
          <cell r="F56">
            <v>150</v>
          </cell>
          <cell r="G56">
            <v>150</v>
          </cell>
          <cell r="H56">
            <v>150</v>
          </cell>
          <cell r="I56">
            <v>150</v>
          </cell>
          <cell r="J56">
            <v>150</v>
          </cell>
          <cell r="K56">
            <v>150</v>
          </cell>
          <cell r="L56">
            <v>150</v>
          </cell>
          <cell r="M56">
            <v>150</v>
          </cell>
          <cell r="N56">
            <v>150</v>
          </cell>
          <cell r="P56">
            <v>150</v>
          </cell>
          <cell r="Q56">
            <v>150</v>
          </cell>
          <cell r="R56">
            <v>150</v>
          </cell>
          <cell r="S56">
            <v>150</v>
          </cell>
          <cell r="U56">
            <v>150</v>
          </cell>
          <cell r="V56">
            <v>150</v>
          </cell>
          <cell r="W56">
            <v>150</v>
          </cell>
        </row>
        <row r="57">
          <cell r="A57" t="str">
            <v>Sam</v>
          </cell>
          <cell r="B57">
            <v>250</v>
          </cell>
          <cell r="C57">
            <v>250</v>
          </cell>
          <cell r="D57">
            <v>250</v>
          </cell>
          <cell r="E57">
            <v>250</v>
          </cell>
          <cell r="F57">
            <v>250</v>
          </cell>
          <cell r="G57">
            <v>250</v>
          </cell>
          <cell r="H57">
            <v>250</v>
          </cell>
          <cell r="I57">
            <v>250</v>
          </cell>
          <cell r="J57">
            <v>250</v>
          </cell>
          <cell r="K57">
            <v>250</v>
          </cell>
          <cell r="L57">
            <v>250</v>
          </cell>
          <cell r="M57">
            <v>250</v>
          </cell>
          <cell r="N57">
            <v>250</v>
          </cell>
          <cell r="P57">
            <v>400</v>
          </cell>
          <cell r="Q57">
            <v>400</v>
          </cell>
          <cell r="R57">
            <v>400</v>
          </cell>
          <cell r="S57">
            <v>400</v>
          </cell>
          <cell r="U57">
            <v>400</v>
          </cell>
          <cell r="V57">
            <v>400</v>
          </cell>
          <cell r="W57">
            <v>400</v>
          </cell>
        </row>
        <row r="58">
          <cell r="A58" t="str">
            <v>Con</v>
          </cell>
          <cell r="B58">
            <v>700</v>
          </cell>
          <cell r="C58">
            <v>700</v>
          </cell>
          <cell r="D58">
            <v>700</v>
          </cell>
          <cell r="E58">
            <v>700</v>
          </cell>
          <cell r="F58">
            <v>700</v>
          </cell>
          <cell r="G58">
            <v>700</v>
          </cell>
          <cell r="H58">
            <v>700</v>
          </cell>
          <cell r="I58">
            <v>700</v>
          </cell>
          <cell r="J58">
            <v>700</v>
          </cell>
          <cell r="K58">
            <v>700</v>
          </cell>
          <cell r="L58">
            <v>700</v>
          </cell>
          <cell r="M58">
            <v>700</v>
          </cell>
          <cell r="N58">
            <v>700</v>
          </cell>
          <cell r="P58">
            <v>700</v>
          </cell>
          <cell r="Q58">
            <v>700</v>
          </cell>
          <cell r="R58">
            <v>700</v>
          </cell>
          <cell r="S58">
            <v>700</v>
          </cell>
          <cell r="U58">
            <v>700</v>
          </cell>
          <cell r="V58">
            <v>700</v>
          </cell>
          <cell r="W58">
            <v>700</v>
          </cell>
        </row>
        <row r="60">
          <cell r="A60" t="str">
            <v>WCD/RCD Monthly fee GPSI</v>
          </cell>
        </row>
        <row r="61">
          <cell r="B61">
            <v>36130</v>
          </cell>
          <cell r="C61">
            <v>36161</v>
          </cell>
          <cell r="D61">
            <v>36192</v>
          </cell>
          <cell r="E61">
            <v>36220</v>
          </cell>
          <cell r="F61">
            <v>36251</v>
          </cell>
          <cell r="G61">
            <v>36281</v>
          </cell>
          <cell r="H61">
            <v>36312</v>
          </cell>
          <cell r="I61">
            <v>36342</v>
          </cell>
          <cell r="J61">
            <v>36373</v>
          </cell>
          <cell r="K61">
            <v>36404</v>
          </cell>
          <cell r="L61">
            <v>36434</v>
          </cell>
          <cell r="M61">
            <v>36465</v>
          </cell>
          <cell r="N61">
            <v>36495</v>
          </cell>
          <cell r="O61" t="str">
            <v>Total 99</v>
          </cell>
          <cell r="P61" t="str">
            <v>Q1-2000</v>
          </cell>
          <cell r="Q61" t="str">
            <v>Q2-2000</v>
          </cell>
          <cell r="R61" t="str">
            <v>Q3-2000</v>
          </cell>
          <cell r="S61" t="str">
            <v>Q4-2000</v>
          </cell>
          <cell r="T61" t="str">
            <v>Total 2000</v>
          </cell>
          <cell r="U61">
            <v>2001</v>
          </cell>
          <cell r="V61">
            <v>2002</v>
          </cell>
          <cell r="W61">
            <v>2003</v>
          </cell>
        </row>
        <row r="62">
          <cell r="A62" t="str">
            <v>Ark</v>
          </cell>
          <cell r="B62">
            <v>20</v>
          </cell>
          <cell r="C62">
            <v>20</v>
          </cell>
          <cell r="D62">
            <v>20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20</v>
          </cell>
          <cell r="J62">
            <v>20</v>
          </cell>
          <cell r="K62">
            <v>20</v>
          </cell>
          <cell r="L62">
            <v>20</v>
          </cell>
          <cell r="M62">
            <v>20</v>
          </cell>
          <cell r="N62">
            <v>20</v>
          </cell>
          <cell r="P62">
            <v>20</v>
          </cell>
          <cell r="Q62">
            <v>20</v>
          </cell>
          <cell r="R62">
            <v>20</v>
          </cell>
          <cell r="S62">
            <v>20</v>
          </cell>
          <cell r="U62">
            <v>20</v>
          </cell>
          <cell r="V62">
            <v>20</v>
          </cell>
          <cell r="W62">
            <v>20</v>
          </cell>
        </row>
        <row r="63">
          <cell r="A63" t="str">
            <v>Eka</v>
          </cell>
          <cell r="B63">
            <v>9.5</v>
          </cell>
          <cell r="C63">
            <v>9.9</v>
          </cell>
          <cell r="D63">
            <v>9.9</v>
          </cell>
          <cell r="E63">
            <v>9.9</v>
          </cell>
          <cell r="F63">
            <v>9.9</v>
          </cell>
          <cell r="G63">
            <v>9.9</v>
          </cell>
          <cell r="H63">
            <v>9.9</v>
          </cell>
          <cell r="I63">
            <v>9.9</v>
          </cell>
          <cell r="J63">
            <v>9.9</v>
          </cell>
          <cell r="K63">
            <v>9.9</v>
          </cell>
          <cell r="L63">
            <v>9.9</v>
          </cell>
          <cell r="M63">
            <v>9.9</v>
          </cell>
          <cell r="N63">
            <v>9.9</v>
          </cell>
          <cell r="P63">
            <v>9.9</v>
          </cell>
          <cell r="Q63">
            <v>9.9</v>
          </cell>
          <cell r="R63">
            <v>9.9</v>
          </cell>
          <cell r="S63">
            <v>9.9</v>
          </cell>
          <cell r="U63">
            <v>9.9</v>
          </cell>
          <cell r="V63">
            <v>9.9</v>
          </cell>
          <cell r="W63">
            <v>9.9</v>
          </cell>
        </row>
        <row r="64">
          <cell r="A64" t="str">
            <v>Irk</v>
          </cell>
          <cell r="B64">
            <v>5</v>
          </cell>
          <cell r="C64">
            <v>5</v>
          </cell>
          <cell r="D64">
            <v>5</v>
          </cell>
          <cell r="E64">
            <v>5</v>
          </cell>
          <cell r="F64">
            <v>5</v>
          </cell>
          <cell r="G64">
            <v>5</v>
          </cell>
          <cell r="H64">
            <v>5</v>
          </cell>
          <cell r="I64">
            <v>5</v>
          </cell>
          <cell r="J64">
            <v>5</v>
          </cell>
          <cell r="K64">
            <v>5</v>
          </cell>
          <cell r="L64">
            <v>5</v>
          </cell>
          <cell r="M64">
            <v>5</v>
          </cell>
          <cell r="N64">
            <v>5</v>
          </cell>
          <cell r="P64">
            <v>9</v>
          </cell>
          <cell r="Q64">
            <v>9</v>
          </cell>
          <cell r="R64">
            <v>9</v>
          </cell>
          <cell r="S64">
            <v>9</v>
          </cell>
          <cell r="U64">
            <v>9</v>
          </cell>
          <cell r="V64">
            <v>9</v>
          </cell>
          <cell r="W64">
            <v>9</v>
          </cell>
        </row>
        <row r="65">
          <cell r="A65" t="str">
            <v>Kha</v>
          </cell>
          <cell r="B65">
            <v>9</v>
          </cell>
          <cell r="C65">
            <v>9</v>
          </cell>
          <cell r="D65">
            <v>9</v>
          </cell>
          <cell r="E65">
            <v>9</v>
          </cell>
          <cell r="F65">
            <v>9</v>
          </cell>
          <cell r="G65">
            <v>9</v>
          </cell>
          <cell r="H65">
            <v>9</v>
          </cell>
          <cell r="I65">
            <v>9</v>
          </cell>
          <cell r="J65">
            <v>9</v>
          </cell>
          <cell r="K65">
            <v>9</v>
          </cell>
          <cell r="L65">
            <v>9</v>
          </cell>
          <cell r="M65">
            <v>9</v>
          </cell>
          <cell r="N65">
            <v>9</v>
          </cell>
          <cell r="P65">
            <v>9</v>
          </cell>
          <cell r="Q65">
            <v>9</v>
          </cell>
          <cell r="R65">
            <v>9</v>
          </cell>
          <cell r="S65">
            <v>9</v>
          </cell>
          <cell r="U65">
            <v>9</v>
          </cell>
          <cell r="V65">
            <v>9</v>
          </cell>
          <cell r="W65">
            <v>9</v>
          </cell>
        </row>
        <row r="66">
          <cell r="A66" t="str">
            <v>Kra</v>
          </cell>
          <cell r="B66">
            <v>5</v>
          </cell>
          <cell r="C66">
            <v>5</v>
          </cell>
          <cell r="D66">
            <v>5</v>
          </cell>
          <cell r="E66">
            <v>5</v>
          </cell>
          <cell r="F66">
            <v>5</v>
          </cell>
          <cell r="G66">
            <v>5</v>
          </cell>
          <cell r="H66">
            <v>5</v>
          </cell>
          <cell r="I66">
            <v>5</v>
          </cell>
          <cell r="J66">
            <v>5</v>
          </cell>
          <cell r="K66">
            <v>5</v>
          </cell>
          <cell r="L66">
            <v>5</v>
          </cell>
          <cell r="M66">
            <v>5</v>
          </cell>
          <cell r="N66">
            <v>5</v>
          </cell>
          <cell r="P66">
            <v>10</v>
          </cell>
          <cell r="Q66">
            <v>10</v>
          </cell>
          <cell r="R66">
            <v>10</v>
          </cell>
          <cell r="S66">
            <v>10</v>
          </cell>
          <cell r="U66">
            <v>10</v>
          </cell>
          <cell r="V66">
            <v>10</v>
          </cell>
          <cell r="W66">
            <v>10</v>
          </cell>
        </row>
        <row r="67">
          <cell r="A67" t="str">
            <v>Niz</v>
          </cell>
          <cell r="B67">
            <v>15</v>
          </cell>
          <cell r="C67">
            <v>15</v>
          </cell>
          <cell r="D67">
            <v>15</v>
          </cell>
          <cell r="E67">
            <v>15</v>
          </cell>
          <cell r="F67">
            <v>15</v>
          </cell>
          <cell r="G67">
            <v>15</v>
          </cell>
          <cell r="H67">
            <v>15</v>
          </cell>
          <cell r="I67">
            <v>15</v>
          </cell>
          <cell r="J67">
            <v>15</v>
          </cell>
          <cell r="K67">
            <v>15</v>
          </cell>
          <cell r="L67">
            <v>15</v>
          </cell>
          <cell r="M67">
            <v>15</v>
          </cell>
          <cell r="N67">
            <v>15</v>
          </cell>
          <cell r="P67">
            <v>15</v>
          </cell>
          <cell r="Q67">
            <v>15</v>
          </cell>
          <cell r="R67">
            <v>15</v>
          </cell>
          <cell r="S67">
            <v>15</v>
          </cell>
          <cell r="U67">
            <v>15</v>
          </cell>
          <cell r="V67">
            <v>15</v>
          </cell>
          <cell r="W67">
            <v>15</v>
          </cell>
        </row>
        <row r="68">
          <cell r="A68" t="str">
            <v>Nov</v>
          </cell>
          <cell r="B68">
            <v>5</v>
          </cell>
          <cell r="C68">
            <v>5</v>
          </cell>
          <cell r="D68">
            <v>5</v>
          </cell>
          <cell r="E68">
            <v>5</v>
          </cell>
          <cell r="F68">
            <v>5</v>
          </cell>
          <cell r="G68">
            <v>5</v>
          </cell>
          <cell r="H68">
            <v>5</v>
          </cell>
          <cell r="I68">
            <v>5</v>
          </cell>
          <cell r="J68">
            <v>5</v>
          </cell>
          <cell r="K68">
            <v>5</v>
          </cell>
          <cell r="L68">
            <v>5</v>
          </cell>
          <cell r="M68">
            <v>5</v>
          </cell>
          <cell r="N68">
            <v>5</v>
          </cell>
          <cell r="P68">
            <v>10</v>
          </cell>
          <cell r="Q68">
            <v>10</v>
          </cell>
          <cell r="R68">
            <v>10</v>
          </cell>
          <cell r="S68">
            <v>10</v>
          </cell>
          <cell r="U68">
            <v>10</v>
          </cell>
          <cell r="V68">
            <v>10</v>
          </cell>
          <cell r="W68">
            <v>10</v>
          </cell>
        </row>
        <row r="69">
          <cell r="A69" t="str">
            <v>Syk</v>
          </cell>
          <cell r="B69">
            <v>10</v>
          </cell>
          <cell r="C69">
            <v>10</v>
          </cell>
          <cell r="D69">
            <v>10</v>
          </cell>
          <cell r="E69">
            <v>10</v>
          </cell>
          <cell r="F69">
            <v>10</v>
          </cell>
          <cell r="G69">
            <v>10</v>
          </cell>
          <cell r="H69">
            <v>10</v>
          </cell>
          <cell r="I69">
            <v>10</v>
          </cell>
          <cell r="J69">
            <v>10</v>
          </cell>
          <cell r="K69">
            <v>10</v>
          </cell>
          <cell r="L69">
            <v>10</v>
          </cell>
          <cell r="M69">
            <v>10</v>
          </cell>
          <cell r="N69">
            <v>10</v>
          </cell>
          <cell r="P69">
            <v>20</v>
          </cell>
          <cell r="Q69">
            <v>20</v>
          </cell>
          <cell r="R69">
            <v>20</v>
          </cell>
          <cell r="S69">
            <v>20</v>
          </cell>
          <cell r="U69">
            <v>20</v>
          </cell>
          <cell r="V69">
            <v>20</v>
          </cell>
          <cell r="W69">
            <v>20</v>
          </cell>
        </row>
        <row r="70">
          <cell r="A70" t="str">
            <v>Tyu</v>
          </cell>
          <cell r="B70">
            <v>5</v>
          </cell>
          <cell r="C70">
            <v>5</v>
          </cell>
          <cell r="D70">
            <v>5</v>
          </cell>
          <cell r="E70">
            <v>5</v>
          </cell>
          <cell r="F70">
            <v>5</v>
          </cell>
          <cell r="G70">
            <v>5</v>
          </cell>
          <cell r="H70">
            <v>5</v>
          </cell>
          <cell r="I70">
            <v>5</v>
          </cell>
          <cell r="J70">
            <v>5</v>
          </cell>
          <cell r="K70">
            <v>5</v>
          </cell>
          <cell r="L70">
            <v>5</v>
          </cell>
          <cell r="M70">
            <v>5</v>
          </cell>
          <cell r="N70">
            <v>5</v>
          </cell>
          <cell r="P70">
            <v>10</v>
          </cell>
          <cell r="Q70">
            <v>10</v>
          </cell>
          <cell r="R70">
            <v>10</v>
          </cell>
          <cell r="S70">
            <v>10</v>
          </cell>
          <cell r="U70">
            <v>10</v>
          </cell>
          <cell r="V70">
            <v>10</v>
          </cell>
          <cell r="W70">
            <v>10</v>
          </cell>
        </row>
        <row r="71">
          <cell r="A71" t="str">
            <v>Ufa</v>
          </cell>
          <cell r="B71">
            <v>15</v>
          </cell>
          <cell r="C71">
            <v>15</v>
          </cell>
          <cell r="D71">
            <v>15</v>
          </cell>
          <cell r="E71">
            <v>15</v>
          </cell>
          <cell r="F71">
            <v>15</v>
          </cell>
          <cell r="G71">
            <v>15</v>
          </cell>
          <cell r="H71">
            <v>15</v>
          </cell>
          <cell r="I71">
            <v>15</v>
          </cell>
          <cell r="J71">
            <v>15</v>
          </cell>
          <cell r="K71">
            <v>15</v>
          </cell>
          <cell r="L71">
            <v>15</v>
          </cell>
          <cell r="M71">
            <v>15</v>
          </cell>
          <cell r="N71">
            <v>15</v>
          </cell>
          <cell r="P71">
            <v>15</v>
          </cell>
          <cell r="Q71">
            <v>15</v>
          </cell>
          <cell r="R71">
            <v>15</v>
          </cell>
          <cell r="S71">
            <v>15</v>
          </cell>
          <cell r="U71">
            <v>15</v>
          </cell>
          <cell r="V71">
            <v>15</v>
          </cell>
          <cell r="W71">
            <v>15</v>
          </cell>
        </row>
        <row r="72">
          <cell r="A72" t="str">
            <v>Vla</v>
          </cell>
          <cell r="B72">
            <v>7</v>
          </cell>
          <cell r="C72">
            <v>7</v>
          </cell>
          <cell r="D72">
            <v>7</v>
          </cell>
          <cell r="E72">
            <v>7</v>
          </cell>
          <cell r="F72">
            <v>7</v>
          </cell>
          <cell r="G72">
            <v>7</v>
          </cell>
          <cell r="H72">
            <v>7</v>
          </cell>
          <cell r="I72">
            <v>7</v>
          </cell>
          <cell r="J72">
            <v>7</v>
          </cell>
          <cell r="K72">
            <v>7</v>
          </cell>
          <cell r="L72">
            <v>7</v>
          </cell>
          <cell r="M72">
            <v>7</v>
          </cell>
          <cell r="N72">
            <v>7</v>
          </cell>
          <cell r="P72">
            <v>3</v>
          </cell>
          <cell r="Q72">
            <v>3</v>
          </cell>
          <cell r="R72">
            <v>3</v>
          </cell>
          <cell r="S72">
            <v>3</v>
          </cell>
          <cell r="U72">
            <v>3</v>
          </cell>
          <cell r="V72">
            <v>3</v>
          </cell>
          <cell r="W72">
            <v>3</v>
          </cell>
        </row>
        <row r="73">
          <cell r="A73" t="str">
            <v>Vol</v>
          </cell>
          <cell r="B73">
            <v>8.4</v>
          </cell>
          <cell r="C73">
            <v>8.4</v>
          </cell>
          <cell r="D73">
            <v>8.4</v>
          </cell>
          <cell r="E73">
            <v>8.4</v>
          </cell>
          <cell r="F73">
            <v>8.4</v>
          </cell>
          <cell r="G73">
            <v>8.4</v>
          </cell>
          <cell r="H73">
            <v>8.4</v>
          </cell>
          <cell r="I73">
            <v>8.4</v>
          </cell>
          <cell r="J73">
            <v>8.4</v>
          </cell>
          <cell r="K73">
            <v>8.4</v>
          </cell>
          <cell r="L73">
            <v>8.4</v>
          </cell>
          <cell r="M73">
            <v>8.4</v>
          </cell>
          <cell r="N73">
            <v>8.4</v>
          </cell>
          <cell r="P73">
            <v>8.4</v>
          </cell>
          <cell r="Q73">
            <v>8.4</v>
          </cell>
          <cell r="R73">
            <v>8.4</v>
          </cell>
          <cell r="S73">
            <v>8.4</v>
          </cell>
          <cell r="U73">
            <v>8.4</v>
          </cell>
          <cell r="V73">
            <v>8.4</v>
          </cell>
          <cell r="W73">
            <v>8.4</v>
          </cell>
        </row>
        <row r="74">
          <cell r="A74" t="str">
            <v>Vor</v>
          </cell>
          <cell r="B74">
            <v>7</v>
          </cell>
          <cell r="C74">
            <v>7</v>
          </cell>
          <cell r="D74">
            <v>7</v>
          </cell>
          <cell r="E74">
            <v>7</v>
          </cell>
          <cell r="F74">
            <v>7</v>
          </cell>
          <cell r="G74">
            <v>7</v>
          </cell>
          <cell r="H74">
            <v>7</v>
          </cell>
          <cell r="I74">
            <v>7</v>
          </cell>
          <cell r="J74">
            <v>7</v>
          </cell>
          <cell r="K74">
            <v>7</v>
          </cell>
          <cell r="L74">
            <v>7</v>
          </cell>
          <cell r="M74">
            <v>7</v>
          </cell>
          <cell r="N74">
            <v>7</v>
          </cell>
          <cell r="P74">
            <v>7</v>
          </cell>
          <cell r="Q74">
            <v>7</v>
          </cell>
          <cell r="R74">
            <v>7</v>
          </cell>
          <cell r="S74">
            <v>7</v>
          </cell>
          <cell r="U74">
            <v>7</v>
          </cell>
          <cell r="V74">
            <v>7</v>
          </cell>
          <cell r="W74">
            <v>7</v>
          </cell>
        </row>
        <row r="75">
          <cell r="A75" t="str">
            <v>Sam</v>
          </cell>
          <cell r="B75">
            <v>7.5</v>
          </cell>
          <cell r="C75">
            <v>7.5</v>
          </cell>
          <cell r="D75">
            <v>7.5</v>
          </cell>
          <cell r="E75">
            <v>7.5</v>
          </cell>
          <cell r="F75">
            <v>7.5</v>
          </cell>
          <cell r="G75">
            <v>7.5</v>
          </cell>
          <cell r="H75">
            <v>7.5</v>
          </cell>
          <cell r="I75">
            <v>7.5</v>
          </cell>
          <cell r="J75">
            <v>7.5</v>
          </cell>
          <cell r="K75">
            <v>7.5</v>
          </cell>
          <cell r="L75">
            <v>7.5</v>
          </cell>
          <cell r="M75">
            <v>7.5</v>
          </cell>
          <cell r="N75">
            <v>7.5</v>
          </cell>
          <cell r="P75">
            <v>15</v>
          </cell>
          <cell r="Q75">
            <v>15</v>
          </cell>
          <cell r="R75">
            <v>15</v>
          </cell>
          <cell r="S75">
            <v>15</v>
          </cell>
          <cell r="U75">
            <v>15</v>
          </cell>
          <cell r="V75">
            <v>15</v>
          </cell>
          <cell r="W75">
            <v>15</v>
          </cell>
        </row>
        <row r="76">
          <cell r="A76" t="str">
            <v>Con</v>
          </cell>
          <cell r="B76">
            <v>26</v>
          </cell>
          <cell r="C76">
            <v>28</v>
          </cell>
          <cell r="D76">
            <v>28</v>
          </cell>
          <cell r="E76">
            <v>28</v>
          </cell>
          <cell r="F76">
            <v>28</v>
          </cell>
          <cell r="G76">
            <v>28</v>
          </cell>
          <cell r="H76">
            <v>28</v>
          </cell>
          <cell r="I76">
            <v>28</v>
          </cell>
          <cell r="J76">
            <v>28</v>
          </cell>
          <cell r="K76">
            <v>28</v>
          </cell>
          <cell r="L76">
            <v>29</v>
          </cell>
          <cell r="M76">
            <v>30</v>
          </cell>
          <cell r="N76">
            <v>31</v>
          </cell>
          <cell r="P76">
            <v>28</v>
          </cell>
          <cell r="Q76">
            <v>29</v>
          </cell>
          <cell r="R76">
            <v>30</v>
          </cell>
          <cell r="S76">
            <v>31</v>
          </cell>
          <cell r="U76">
            <v>28</v>
          </cell>
          <cell r="V76">
            <v>29</v>
          </cell>
          <cell r="W76">
            <v>30</v>
          </cell>
        </row>
        <row r="116">
          <cell r="A116" t="str">
            <v>WCD/RCD Average intercity tariff GPSI</v>
          </cell>
        </row>
        <row r="117">
          <cell r="B117">
            <v>36130</v>
          </cell>
          <cell r="C117">
            <v>36161</v>
          </cell>
          <cell r="D117">
            <v>36192</v>
          </cell>
          <cell r="E117">
            <v>36220</v>
          </cell>
          <cell r="F117">
            <v>36251</v>
          </cell>
          <cell r="G117">
            <v>36281</v>
          </cell>
          <cell r="H117">
            <v>36312</v>
          </cell>
          <cell r="I117">
            <v>36342</v>
          </cell>
          <cell r="J117">
            <v>36373</v>
          </cell>
          <cell r="K117">
            <v>36404</v>
          </cell>
          <cell r="L117">
            <v>36434</v>
          </cell>
          <cell r="M117">
            <v>36465</v>
          </cell>
          <cell r="N117">
            <v>36495</v>
          </cell>
          <cell r="O117" t="str">
            <v>Total 99</v>
          </cell>
          <cell r="P117" t="str">
            <v>Q1-2000</v>
          </cell>
          <cell r="Q117" t="str">
            <v>Q2-2000</v>
          </cell>
          <cell r="R117" t="str">
            <v>Q3-2000</v>
          </cell>
          <cell r="S117" t="str">
            <v>Q4-2000</v>
          </cell>
          <cell r="T117" t="str">
            <v>Total 2000</v>
          </cell>
          <cell r="U117">
            <v>2001</v>
          </cell>
          <cell r="V117">
            <v>2002</v>
          </cell>
          <cell r="W117">
            <v>2003</v>
          </cell>
        </row>
        <row r="118">
          <cell r="A118" t="str">
            <v>Ark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A119" t="str">
            <v>Eka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Irk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Kha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 t="str">
            <v>Kra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 t="str">
            <v>Niz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 t="str">
            <v>Nov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Syk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 t="str">
            <v>Tyu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 t="str">
            <v>Ufa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 t="str">
            <v>Vla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A129" t="str">
            <v>Vol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Vor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Sam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 t="str">
            <v>Con</v>
          </cell>
          <cell r="B132">
            <v>0.95</v>
          </cell>
          <cell r="C132">
            <v>0.93</v>
          </cell>
          <cell r="D132">
            <v>0.93</v>
          </cell>
          <cell r="E132">
            <v>0.93</v>
          </cell>
          <cell r="F132">
            <v>0.93</v>
          </cell>
          <cell r="G132">
            <v>0.93</v>
          </cell>
          <cell r="H132">
            <v>0.93</v>
          </cell>
          <cell r="I132">
            <v>0.83700000000000008</v>
          </cell>
          <cell r="J132">
            <v>0.83700000000000008</v>
          </cell>
          <cell r="K132">
            <v>0.83700000000000008</v>
          </cell>
          <cell r="L132">
            <v>0.83700000000000008</v>
          </cell>
          <cell r="M132">
            <v>0.83700000000000008</v>
          </cell>
          <cell r="N132">
            <v>0.83700000000000008</v>
          </cell>
          <cell r="P132">
            <v>0.75330000000000008</v>
          </cell>
          <cell r="Q132">
            <v>0.75330000000000008</v>
          </cell>
          <cell r="R132">
            <v>0.75330000000000008</v>
          </cell>
          <cell r="S132">
            <v>0.75330000000000008</v>
          </cell>
          <cell r="U132">
            <v>0.67797000000000007</v>
          </cell>
          <cell r="V132">
            <v>0.61017300000000008</v>
          </cell>
          <cell r="W132">
            <v>0.54915570000000014</v>
          </cell>
        </row>
        <row r="133">
          <cell r="A133" t="str">
            <v>Cel</v>
          </cell>
          <cell r="B133">
            <v>0.48</v>
          </cell>
          <cell r="C133">
            <v>0.44159999999999999</v>
          </cell>
          <cell r="D133">
            <v>0.44159999999999999</v>
          </cell>
          <cell r="E133">
            <v>0.44159999999999999</v>
          </cell>
          <cell r="F133">
            <v>0.44159999999999999</v>
          </cell>
          <cell r="G133">
            <v>0.44159999999999999</v>
          </cell>
          <cell r="H133">
            <v>0.44159999999999999</v>
          </cell>
          <cell r="I133">
            <v>0.44159999999999999</v>
          </cell>
          <cell r="J133">
            <v>0.44159999999999999</v>
          </cell>
          <cell r="K133">
            <v>0.44159999999999999</v>
          </cell>
          <cell r="L133">
            <v>0.44159999999999999</v>
          </cell>
          <cell r="M133">
            <v>0.44159999999999999</v>
          </cell>
          <cell r="N133">
            <v>0.44159999999999999</v>
          </cell>
          <cell r="P133">
            <v>0.39744000000000002</v>
          </cell>
          <cell r="Q133">
            <v>0.39744000000000002</v>
          </cell>
          <cell r="R133">
            <v>0.39744000000000002</v>
          </cell>
          <cell r="S133">
            <v>0.39744000000000002</v>
          </cell>
          <cell r="U133">
            <v>0.35769600000000001</v>
          </cell>
          <cell r="V133">
            <v>0.3219264</v>
          </cell>
          <cell r="W133">
            <v>0.28973376000000001</v>
          </cell>
        </row>
        <row r="134">
          <cell r="A134" t="str">
            <v>Sov</v>
          </cell>
          <cell r="B134">
            <v>0.31</v>
          </cell>
          <cell r="C134">
            <v>0.29449999999999998</v>
          </cell>
          <cell r="D134">
            <v>0.29449999999999998</v>
          </cell>
          <cell r="E134">
            <v>0.29449999999999998</v>
          </cell>
          <cell r="F134">
            <v>0.29449999999999998</v>
          </cell>
          <cell r="G134">
            <v>0.29449999999999998</v>
          </cell>
          <cell r="H134">
            <v>0.29449999999999998</v>
          </cell>
          <cell r="I134">
            <v>0.26505000000000001</v>
          </cell>
          <cell r="J134">
            <v>0.26505000000000001</v>
          </cell>
          <cell r="K134">
            <v>0.26505000000000001</v>
          </cell>
          <cell r="L134">
            <v>0.26505000000000001</v>
          </cell>
          <cell r="M134">
            <v>0.26505000000000001</v>
          </cell>
          <cell r="N134">
            <v>0.26505000000000001</v>
          </cell>
          <cell r="P134">
            <v>0.26505000000000001</v>
          </cell>
          <cell r="Q134">
            <v>0.26505000000000001</v>
          </cell>
          <cell r="R134">
            <v>0.26505000000000001</v>
          </cell>
          <cell r="S134">
            <v>0.26505000000000001</v>
          </cell>
          <cell r="U134">
            <v>0.26505000000000001</v>
          </cell>
          <cell r="V134">
            <v>0</v>
          </cell>
          <cell r="W134">
            <v>0.26505000000000001</v>
          </cell>
        </row>
        <row r="174">
          <cell r="A174" t="str">
            <v>WCD/RCD Average international tariff GPSI</v>
          </cell>
        </row>
        <row r="175">
          <cell r="B175">
            <v>36130</v>
          </cell>
          <cell r="C175">
            <v>36161</v>
          </cell>
          <cell r="D175">
            <v>36192</v>
          </cell>
          <cell r="E175">
            <v>36220</v>
          </cell>
          <cell r="F175">
            <v>36251</v>
          </cell>
          <cell r="G175">
            <v>36281</v>
          </cell>
          <cell r="H175">
            <v>36312</v>
          </cell>
          <cell r="I175">
            <v>36342</v>
          </cell>
          <cell r="J175">
            <v>36373</v>
          </cell>
          <cell r="K175">
            <v>36404</v>
          </cell>
          <cell r="L175">
            <v>36434</v>
          </cell>
          <cell r="M175">
            <v>36465</v>
          </cell>
          <cell r="N175">
            <v>36495</v>
          </cell>
          <cell r="O175" t="str">
            <v>Total 99</v>
          </cell>
          <cell r="P175" t="str">
            <v>Q1-2000</v>
          </cell>
          <cell r="Q175" t="str">
            <v>Q2-2000</v>
          </cell>
          <cell r="R175" t="str">
            <v>Q3-2000</v>
          </cell>
          <cell r="S175" t="str">
            <v>Q4-2000</v>
          </cell>
          <cell r="T175" t="str">
            <v>Total 2000</v>
          </cell>
          <cell r="U175">
            <v>2001</v>
          </cell>
          <cell r="V175">
            <v>2002</v>
          </cell>
          <cell r="W175">
            <v>2003</v>
          </cell>
        </row>
        <row r="176">
          <cell r="A176" t="str">
            <v>Ark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 t="str">
            <v>Eka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 t="str">
            <v>Irk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 t="str">
            <v>Kha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A180" t="str">
            <v>Kra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 t="str">
            <v>Niz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 t="str">
            <v>Nov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A183" t="str">
            <v>Syk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 t="str">
            <v>Tyu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 t="str">
            <v>Ufa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 t="str">
            <v>Vla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 t="str">
            <v>Vol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 t="str">
            <v>Vor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 t="str">
            <v>Sam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 t="str">
            <v>Con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P190">
            <v>2.2999999999999998</v>
          </cell>
          <cell r="Q190">
            <v>2.2999999999999998</v>
          </cell>
          <cell r="R190">
            <v>2.15</v>
          </cell>
          <cell r="S190">
            <v>2.15</v>
          </cell>
          <cell r="U190">
            <v>2.1</v>
          </cell>
          <cell r="V190">
            <v>2.1</v>
          </cell>
          <cell r="W190">
            <v>2.1</v>
          </cell>
        </row>
        <row r="191">
          <cell r="A191" t="str">
            <v>Cell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P191">
            <v>1.25</v>
          </cell>
          <cell r="Q191">
            <v>1.25</v>
          </cell>
          <cell r="R191">
            <v>1.25</v>
          </cell>
          <cell r="S191">
            <v>1.25</v>
          </cell>
          <cell r="U191">
            <v>1.2</v>
          </cell>
          <cell r="V191">
            <v>1.2</v>
          </cell>
          <cell r="W191">
            <v>1.2</v>
          </cell>
        </row>
        <row r="192">
          <cell r="A192" t="str">
            <v>Sov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P192">
            <v>0.4</v>
          </cell>
          <cell r="Q192">
            <v>0.4</v>
          </cell>
          <cell r="R192">
            <v>0.4</v>
          </cell>
          <cell r="S192">
            <v>0.4</v>
          </cell>
          <cell r="U192">
            <v>0.4</v>
          </cell>
          <cell r="V192">
            <v>0.4</v>
          </cell>
          <cell r="W192">
            <v>0.4</v>
          </cell>
        </row>
        <row r="266">
          <cell r="A266" t="str">
            <v>MC Average intercity tariff GPSI</v>
          </cell>
        </row>
        <row r="267">
          <cell r="B267">
            <v>36130</v>
          </cell>
          <cell r="C267">
            <v>36161</v>
          </cell>
          <cell r="D267">
            <v>36192</v>
          </cell>
          <cell r="E267">
            <v>36220</v>
          </cell>
          <cell r="F267">
            <v>36251</v>
          </cell>
          <cell r="G267">
            <v>36281</v>
          </cell>
          <cell r="H267">
            <v>36312</v>
          </cell>
          <cell r="I267">
            <v>36342</v>
          </cell>
          <cell r="J267">
            <v>36373</v>
          </cell>
          <cell r="K267">
            <v>36404</v>
          </cell>
          <cell r="L267">
            <v>36434</v>
          </cell>
          <cell r="M267">
            <v>36465</v>
          </cell>
          <cell r="N267">
            <v>36495</v>
          </cell>
          <cell r="O267" t="str">
            <v>Total 99</v>
          </cell>
          <cell r="P267" t="str">
            <v>Q1-2000</v>
          </cell>
          <cell r="Q267" t="str">
            <v>Q2-2000</v>
          </cell>
          <cell r="R267" t="str">
            <v>Q3-2000</v>
          </cell>
          <cell r="S267" t="str">
            <v>Q4-2000</v>
          </cell>
          <cell r="T267" t="str">
            <v>Total 2000</v>
          </cell>
          <cell r="U267">
            <v>2001</v>
          </cell>
          <cell r="V267">
            <v>2002</v>
          </cell>
          <cell r="W267">
            <v>2003</v>
          </cell>
        </row>
        <row r="268">
          <cell r="A268" t="str">
            <v>Ark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 t="str">
            <v>Eka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 t="str">
            <v>Irk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 t="str">
            <v>Kha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 t="str">
            <v>Kra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 t="str">
            <v>Niz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 t="str">
            <v>Nov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A275" t="str">
            <v>Syk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A276" t="str">
            <v>Tyu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A277" t="str">
            <v>Ufa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 t="str">
            <v>Vla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A279" t="str">
            <v>Vol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 t="str">
            <v>Vor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A281" t="str">
            <v>Sam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 t="str">
            <v>Con</v>
          </cell>
          <cell r="B282">
            <v>0.41</v>
          </cell>
          <cell r="C282">
            <v>0.41</v>
          </cell>
          <cell r="D282">
            <v>0.41</v>
          </cell>
          <cell r="E282">
            <v>0.41</v>
          </cell>
          <cell r="F282">
            <v>0.41</v>
          </cell>
          <cell r="G282">
            <v>0.41</v>
          </cell>
          <cell r="H282">
            <v>0.41</v>
          </cell>
          <cell r="I282">
            <v>0.41</v>
          </cell>
          <cell r="J282">
            <v>0.41</v>
          </cell>
          <cell r="K282">
            <v>0.41</v>
          </cell>
          <cell r="L282">
            <v>0.41</v>
          </cell>
          <cell r="M282">
            <v>0.41</v>
          </cell>
          <cell r="N282">
            <v>0.41</v>
          </cell>
          <cell r="P282">
            <v>0.38949999999999996</v>
          </cell>
          <cell r="Q282">
            <v>0.38949999999999996</v>
          </cell>
          <cell r="R282">
            <v>0.38949999999999996</v>
          </cell>
          <cell r="S282">
            <v>0.38949999999999996</v>
          </cell>
          <cell r="U282">
            <v>0.37002499999999994</v>
          </cell>
          <cell r="V282">
            <v>0.35152374999999991</v>
          </cell>
          <cell r="W282">
            <v>0.33394756249999991</v>
          </cell>
        </row>
        <row r="302">
          <cell r="A302" t="str">
            <v>MC Average international tariff GPSI</v>
          </cell>
        </row>
        <row r="303">
          <cell r="B303">
            <v>36130</v>
          </cell>
          <cell r="C303">
            <v>36161</v>
          </cell>
          <cell r="D303">
            <v>36192</v>
          </cell>
          <cell r="E303">
            <v>36220</v>
          </cell>
          <cell r="F303">
            <v>36251</v>
          </cell>
          <cell r="G303">
            <v>36281</v>
          </cell>
          <cell r="H303">
            <v>36312</v>
          </cell>
          <cell r="I303">
            <v>36342</v>
          </cell>
          <cell r="J303">
            <v>36373</v>
          </cell>
          <cell r="K303">
            <v>36404</v>
          </cell>
          <cell r="L303">
            <v>36434</v>
          </cell>
          <cell r="M303">
            <v>36465</v>
          </cell>
          <cell r="N303">
            <v>36495</v>
          </cell>
          <cell r="O303" t="str">
            <v>Total 99</v>
          </cell>
          <cell r="P303" t="str">
            <v>Q1-2000</v>
          </cell>
          <cell r="Q303" t="str">
            <v>Q2-2000</v>
          </cell>
          <cell r="R303" t="str">
            <v>Q3-2000</v>
          </cell>
          <cell r="S303" t="str">
            <v>Q4-2000</v>
          </cell>
          <cell r="T303" t="str">
            <v>Total 2000</v>
          </cell>
          <cell r="U303">
            <v>2001</v>
          </cell>
          <cell r="V303">
            <v>2002</v>
          </cell>
          <cell r="W303">
            <v>2003</v>
          </cell>
        </row>
        <row r="304">
          <cell r="A304" t="str">
            <v>Ark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 t="str">
            <v>Eka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 t="str">
            <v>Irk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 t="str">
            <v>Kha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A308" t="str">
            <v>Kra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 t="str">
            <v>Niz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 t="str">
            <v>Nov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 t="str">
            <v>Syk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 t="str">
            <v>Tyu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 t="str">
            <v>Ufa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 t="str">
            <v>Vla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 t="str">
            <v>Vol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 t="str">
            <v>Vor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 t="str">
            <v>Sam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A318" t="str">
            <v>Con</v>
          </cell>
          <cell r="B318">
            <v>1.6</v>
          </cell>
          <cell r="C318">
            <v>1.6</v>
          </cell>
          <cell r="D318">
            <v>1.6</v>
          </cell>
          <cell r="E318">
            <v>1.6</v>
          </cell>
          <cell r="F318">
            <v>1.6</v>
          </cell>
          <cell r="G318">
            <v>1.6</v>
          </cell>
          <cell r="H318">
            <v>1.6</v>
          </cell>
          <cell r="I318">
            <v>1.6</v>
          </cell>
          <cell r="J318">
            <v>1.6</v>
          </cell>
          <cell r="K318">
            <v>1.6</v>
          </cell>
          <cell r="L318">
            <v>1.6</v>
          </cell>
          <cell r="M318">
            <v>1.6</v>
          </cell>
          <cell r="N318">
            <v>1.6</v>
          </cell>
          <cell r="P318">
            <v>1.52</v>
          </cell>
          <cell r="Q318">
            <v>1.52</v>
          </cell>
          <cell r="R318">
            <v>1.52</v>
          </cell>
          <cell r="S318">
            <v>1.52</v>
          </cell>
          <cell r="U318">
            <v>1.444</v>
          </cell>
          <cell r="V318">
            <v>1.3717999999999999</v>
          </cell>
          <cell r="W318">
            <v>1.3032099999999998</v>
          </cell>
        </row>
        <row r="339">
          <cell r="A339" t="str">
            <v>WAC Registration fee GPSI</v>
          </cell>
        </row>
        <row r="340">
          <cell r="B340">
            <v>36130</v>
          </cell>
          <cell r="C340">
            <v>36161</v>
          </cell>
          <cell r="D340">
            <v>36192</v>
          </cell>
          <cell r="E340">
            <v>36220</v>
          </cell>
          <cell r="F340">
            <v>36251</v>
          </cell>
          <cell r="G340">
            <v>36281</v>
          </cell>
          <cell r="H340">
            <v>36312</v>
          </cell>
          <cell r="I340">
            <v>36342</v>
          </cell>
          <cell r="J340">
            <v>36373</v>
          </cell>
          <cell r="K340">
            <v>36404</v>
          </cell>
          <cell r="L340">
            <v>36434</v>
          </cell>
          <cell r="M340">
            <v>36465</v>
          </cell>
          <cell r="N340">
            <v>36495</v>
          </cell>
          <cell r="O340" t="str">
            <v>Total 99</v>
          </cell>
          <cell r="P340" t="str">
            <v>Q1-2000</v>
          </cell>
          <cell r="Q340" t="str">
            <v>Q2-2000</v>
          </cell>
          <cell r="R340" t="str">
            <v>Q3-2000</v>
          </cell>
          <cell r="S340" t="str">
            <v>Q4-2000</v>
          </cell>
          <cell r="T340" t="str">
            <v>Total 2000</v>
          </cell>
          <cell r="U340">
            <v>2001</v>
          </cell>
          <cell r="V340">
            <v>2002</v>
          </cell>
          <cell r="W340">
            <v>2003</v>
          </cell>
        </row>
        <row r="341">
          <cell r="A341" t="str">
            <v>Ark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 t="str">
            <v>Eka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 t="str">
            <v>Irk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 t="str">
            <v>Kha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 t="str">
            <v>Kra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 t="str">
            <v>Niz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 t="str">
            <v>Nov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 t="str">
            <v>Syk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 t="str">
            <v>Tyu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 t="str">
            <v>Ufa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 t="str">
            <v>Vla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 t="str">
            <v>Vol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 t="str">
            <v>Vor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 t="str">
            <v>Sam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 t="str">
            <v>Mos</v>
          </cell>
        </row>
        <row r="356">
          <cell r="A356" t="str">
            <v>Con</v>
          </cell>
          <cell r="C356">
            <v>10</v>
          </cell>
          <cell r="D356">
            <v>10</v>
          </cell>
          <cell r="E356">
            <v>10</v>
          </cell>
          <cell r="F356">
            <v>10</v>
          </cell>
          <cell r="G356">
            <v>10</v>
          </cell>
          <cell r="H356">
            <v>10</v>
          </cell>
          <cell r="I356">
            <v>10</v>
          </cell>
          <cell r="J356">
            <v>10</v>
          </cell>
          <cell r="K356">
            <v>10</v>
          </cell>
          <cell r="L356">
            <v>10</v>
          </cell>
          <cell r="M356">
            <v>10</v>
          </cell>
          <cell r="N356">
            <v>10</v>
          </cell>
          <cell r="P356">
            <v>7</v>
          </cell>
          <cell r="Q356">
            <v>7</v>
          </cell>
          <cell r="R356">
            <v>7</v>
          </cell>
          <cell r="S356">
            <v>7</v>
          </cell>
          <cell r="U356">
            <v>72.900000000000006</v>
          </cell>
          <cell r="V356">
            <v>65.61</v>
          </cell>
          <cell r="W356">
            <v>59.049000000000014</v>
          </cell>
        </row>
        <row r="377">
          <cell r="A377" t="str">
            <v>WAC Average intercity tariff GPSI</v>
          </cell>
        </row>
        <row r="378">
          <cell r="B378">
            <v>36130</v>
          </cell>
          <cell r="C378">
            <v>36161</v>
          </cell>
          <cell r="D378">
            <v>36192</v>
          </cell>
          <cell r="E378">
            <v>36220</v>
          </cell>
          <cell r="F378">
            <v>36251</v>
          </cell>
          <cell r="G378">
            <v>36281</v>
          </cell>
          <cell r="H378">
            <v>36312</v>
          </cell>
          <cell r="I378">
            <v>36342</v>
          </cell>
          <cell r="J378">
            <v>36373</v>
          </cell>
          <cell r="K378">
            <v>36404</v>
          </cell>
          <cell r="L378">
            <v>36434</v>
          </cell>
          <cell r="M378">
            <v>36465</v>
          </cell>
          <cell r="N378">
            <v>36495</v>
          </cell>
          <cell r="O378" t="str">
            <v>Total 99</v>
          </cell>
          <cell r="P378" t="str">
            <v>Q1-2000</v>
          </cell>
          <cell r="Q378" t="str">
            <v>Q2-2000</v>
          </cell>
          <cell r="R378" t="str">
            <v>Q3-2000</v>
          </cell>
          <cell r="S378" t="str">
            <v>Q4-2000</v>
          </cell>
          <cell r="T378" t="str">
            <v>Total 2000</v>
          </cell>
          <cell r="U378">
            <v>2001</v>
          </cell>
          <cell r="V378">
            <v>2002</v>
          </cell>
          <cell r="W378">
            <v>2003</v>
          </cell>
        </row>
        <row r="379">
          <cell r="A379" t="str">
            <v>Ark</v>
          </cell>
          <cell r="B379">
            <v>0.08</v>
          </cell>
          <cell r="C379">
            <v>0.08</v>
          </cell>
          <cell r="D379">
            <v>0.08</v>
          </cell>
          <cell r="E379">
            <v>0.08</v>
          </cell>
          <cell r="F379">
            <v>0.08</v>
          </cell>
          <cell r="G379">
            <v>0.08</v>
          </cell>
          <cell r="H379">
            <v>0.08</v>
          </cell>
          <cell r="I379">
            <v>0.08</v>
          </cell>
          <cell r="J379">
            <v>0.08</v>
          </cell>
          <cell r="K379">
            <v>0.08</v>
          </cell>
          <cell r="L379">
            <v>0.08</v>
          </cell>
          <cell r="M379">
            <v>0.08</v>
          </cell>
          <cell r="N379">
            <v>0.08</v>
          </cell>
          <cell r="P379">
            <v>0.08</v>
          </cell>
          <cell r="Q379">
            <v>0.08</v>
          </cell>
          <cell r="R379">
            <v>0.08</v>
          </cell>
          <cell r="S379">
            <v>0.08</v>
          </cell>
          <cell r="U379">
            <v>7.2000000000000008E-2</v>
          </cell>
          <cell r="V379">
            <v>6.480000000000001E-2</v>
          </cell>
          <cell r="W379">
            <v>5.8320000000000011E-2</v>
          </cell>
        </row>
        <row r="380">
          <cell r="A380" t="str">
            <v>Eka</v>
          </cell>
          <cell r="B380">
            <v>0.08</v>
          </cell>
          <cell r="C380">
            <v>0.08</v>
          </cell>
          <cell r="D380">
            <v>0.08</v>
          </cell>
          <cell r="E380">
            <v>0.08</v>
          </cell>
          <cell r="F380">
            <v>0.08</v>
          </cell>
          <cell r="G380">
            <v>0.08</v>
          </cell>
          <cell r="H380">
            <v>0.08</v>
          </cell>
          <cell r="I380">
            <v>0.08</v>
          </cell>
          <cell r="J380">
            <v>0.08</v>
          </cell>
          <cell r="K380">
            <v>0.08</v>
          </cell>
          <cell r="L380">
            <v>0.08</v>
          </cell>
          <cell r="M380">
            <v>0.08</v>
          </cell>
          <cell r="N380">
            <v>0.08</v>
          </cell>
          <cell r="P380">
            <v>0.08</v>
          </cell>
          <cell r="Q380">
            <v>0.08</v>
          </cell>
          <cell r="R380">
            <v>0.08</v>
          </cell>
          <cell r="S380">
            <v>0.08</v>
          </cell>
          <cell r="U380">
            <v>7.2000000000000008E-2</v>
          </cell>
          <cell r="V380">
            <v>6.480000000000001E-2</v>
          </cell>
          <cell r="W380">
            <v>5.8320000000000011E-2</v>
          </cell>
        </row>
        <row r="381">
          <cell r="A381" t="str">
            <v>Irk</v>
          </cell>
          <cell r="B381">
            <v>0.12</v>
          </cell>
          <cell r="C381">
            <v>0.12</v>
          </cell>
          <cell r="D381">
            <v>0.12</v>
          </cell>
          <cell r="E381">
            <v>0.12</v>
          </cell>
          <cell r="F381">
            <v>0.12</v>
          </cell>
          <cell r="G381">
            <v>0.12</v>
          </cell>
          <cell r="H381">
            <v>0.12</v>
          </cell>
          <cell r="I381">
            <v>0.12</v>
          </cell>
          <cell r="J381">
            <v>0.12</v>
          </cell>
          <cell r="K381">
            <v>0.12</v>
          </cell>
          <cell r="L381">
            <v>0.12</v>
          </cell>
          <cell r="M381">
            <v>0.12</v>
          </cell>
          <cell r="N381">
            <v>0.12</v>
          </cell>
          <cell r="P381">
            <v>0.12</v>
          </cell>
          <cell r="Q381">
            <v>0.12</v>
          </cell>
          <cell r="R381">
            <v>0.12</v>
          </cell>
          <cell r="S381">
            <v>0.12</v>
          </cell>
          <cell r="U381">
            <v>0.108</v>
          </cell>
          <cell r="V381">
            <v>9.7199999999999995E-2</v>
          </cell>
          <cell r="W381">
            <v>8.7480000000000002E-2</v>
          </cell>
        </row>
        <row r="382">
          <cell r="A382" t="str">
            <v>Kha</v>
          </cell>
          <cell r="B382">
            <v>0.2</v>
          </cell>
          <cell r="C382">
            <v>0.2</v>
          </cell>
          <cell r="D382">
            <v>0.2</v>
          </cell>
          <cell r="E382">
            <v>0.2</v>
          </cell>
          <cell r="F382">
            <v>0.2</v>
          </cell>
          <cell r="G382">
            <v>0.2</v>
          </cell>
          <cell r="H382">
            <v>0.2</v>
          </cell>
          <cell r="I382">
            <v>0.2</v>
          </cell>
          <cell r="J382">
            <v>0.2</v>
          </cell>
          <cell r="K382">
            <v>0.2</v>
          </cell>
          <cell r="L382">
            <v>0.2</v>
          </cell>
          <cell r="M382">
            <v>0.2</v>
          </cell>
          <cell r="N382">
            <v>0.2</v>
          </cell>
          <cell r="P382">
            <v>0.2</v>
          </cell>
          <cell r="Q382">
            <v>0.2</v>
          </cell>
          <cell r="R382">
            <v>0.2</v>
          </cell>
          <cell r="S382">
            <v>0.2</v>
          </cell>
          <cell r="U382">
            <v>0.18000000000000002</v>
          </cell>
          <cell r="V382">
            <v>0.16200000000000003</v>
          </cell>
          <cell r="W382">
            <v>0.14580000000000004</v>
          </cell>
        </row>
        <row r="383">
          <cell r="A383" t="str">
            <v>Kra</v>
          </cell>
          <cell r="B383">
            <v>0.08</v>
          </cell>
          <cell r="C383">
            <v>0.08</v>
          </cell>
          <cell r="D383">
            <v>0.08</v>
          </cell>
          <cell r="E383">
            <v>0.08</v>
          </cell>
          <cell r="F383">
            <v>0.08</v>
          </cell>
          <cell r="G383">
            <v>0.08</v>
          </cell>
          <cell r="H383">
            <v>0.08</v>
          </cell>
          <cell r="I383">
            <v>0.08</v>
          </cell>
          <cell r="J383">
            <v>0.08</v>
          </cell>
          <cell r="K383">
            <v>0.08</v>
          </cell>
          <cell r="L383">
            <v>0.08</v>
          </cell>
          <cell r="M383">
            <v>0.08</v>
          </cell>
          <cell r="N383">
            <v>0.08</v>
          </cell>
          <cell r="P383">
            <v>0.08</v>
          </cell>
          <cell r="Q383">
            <v>0.08</v>
          </cell>
          <cell r="R383">
            <v>0.08</v>
          </cell>
          <cell r="S383">
            <v>0.08</v>
          </cell>
          <cell r="U383">
            <v>7.2000000000000008E-2</v>
          </cell>
          <cell r="V383">
            <v>6.480000000000001E-2</v>
          </cell>
          <cell r="W383">
            <v>5.8320000000000011E-2</v>
          </cell>
        </row>
        <row r="384">
          <cell r="A384" t="str">
            <v>Niz</v>
          </cell>
          <cell r="B384">
            <v>0.08</v>
          </cell>
          <cell r="C384">
            <v>0.08</v>
          </cell>
          <cell r="D384">
            <v>0.08</v>
          </cell>
          <cell r="E384">
            <v>0.08</v>
          </cell>
          <cell r="F384">
            <v>0.08</v>
          </cell>
          <cell r="G384">
            <v>0.08</v>
          </cell>
          <cell r="H384">
            <v>0.08</v>
          </cell>
          <cell r="I384">
            <v>0.08</v>
          </cell>
          <cell r="J384">
            <v>0.08</v>
          </cell>
          <cell r="K384">
            <v>0.08</v>
          </cell>
          <cell r="L384">
            <v>0.08</v>
          </cell>
          <cell r="M384">
            <v>0.08</v>
          </cell>
          <cell r="N384">
            <v>0.08</v>
          </cell>
          <cell r="P384">
            <v>0.08</v>
          </cell>
          <cell r="Q384">
            <v>0.08</v>
          </cell>
          <cell r="R384">
            <v>0.08</v>
          </cell>
          <cell r="S384">
            <v>0.08</v>
          </cell>
          <cell r="U384">
            <v>7.2000000000000008E-2</v>
          </cell>
          <cell r="V384">
            <v>6.480000000000001E-2</v>
          </cell>
          <cell r="W384">
            <v>5.8320000000000011E-2</v>
          </cell>
        </row>
        <row r="385">
          <cell r="A385" t="str">
            <v>Nov</v>
          </cell>
          <cell r="B385">
            <v>0.1</v>
          </cell>
          <cell r="C385">
            <v>0.1</v>
          </cell>
          <cell r="D385">
            <v>0.1</v>
          </cell>
          <cell r="E385">
            <v>0.1</v>
          </cell>
          <cell r="F385">
            <v>0.1</v>
          </cell>
          <cell r="G385">
            <v>0.1</v>
          </cell>
          <cell r="H385">
            <v>0.1</v>
          </cell>
          <cell r="I385">
            <v>0.1</v>
          </cell>
          <cell r="J385">
            <v>0.1</v>
          </cell>
          <cell r="K385">
            <v>0.1</v>
          </cell>
          <cell r="L385">
            <v>0.1</v>
          </cell>
          <cell r="M385">
            <v>0.1</v>
          </cell>
          <cell r="N385">
            <v>0.1</v>
          </cell>
          <cell r="P385">
            <v>0.1</v>
          </cell>
          <cell r="Q385">
            <v>0.1</v>
          </cell>
          <cell r="R385">
            <v>0.1</v>
          </cell>
          <cell r="S385">
            <v>0.1</v>
          </cell>
          <cell r="U385">
            <v>9.0000000000000011E-2</v>
          </cell>
          <cell r="V385">
            <v>8.1000000000000016E-2</v>
          </cell>
          <cell r="W385">
            <v>7.290000000000002E-2</v>
          </cell>
        </row>
        <row r="386">
          <cell r="A386" t="str">
            <v>Syk</v>
          </cell>
          <cell r="B386">
            <v>0.09</v>
          </cell>
          <cell r="C386">
            <v>0.09</v>
          </cell>
          <cell r="D386">
            <v>0.09</v>
          </cell>
          <cell r="E386">
            <v>0.09</v>
          </cell>
          <cell r="F386">
            <v>0.09</v>
          </cell>
          <cell r="G386">
            <v>0.09</v>
          </cell>
          <cell r="H386">
            <v>0.09</v>
          </cell>
          <cell r="I386">
            <v>0.09</v>
          </cell>
          <cell r="J386">
            <v>0.09</v>
          </cell>
          <cell r="K386">
            <v>0.09</v>
          </cell>
          <cell r="L386">
            <v>0.09</v>
          </cell>
          <cell r="M386">
            <v>0.09</v>
          </cell>
          <cell r="N386">
            <v>0.09</v>
          </cell>
          <cell r="P386">
            <v>0.09</v>
          </cell>
          <cell r="Q386">
            <v>0.09</v>
          </cell>
          <cell r="R386">
            <v>0.09</v>
          </cell>
          <cell r="S386">
            <v>0.09</v>
          </cell>
          <cell r="U386">
            <v>8.1000000000000003E-2</v>
          </cell>
          <cell r="V386">
            <v>7.2900000000000006E-2</v>
          </cell>
          <cell r="W386">
            <v>6.5610000000000002E-2</v>
          </cell>
        </row>
        <row r="387">
          <cell r="A387" t="str">
            <v>Tyu</v>
          </cell>
          <cell r="B387">
            <v>0.1</v>
          </cell>
          <cell r="C387">
            <v>0.1</v>
          </cell>
          <cell r="D387">
            <v>0.1</v>
          </cell>
          <cell r="E387">
            <v>0.1</v>
          </cell>
          <cell r="F387">
            <v>0.1</v>
          </cell>
          <cell r="G387">
            <v>0.1</v>
          </cell>
          <cell r="H387">
            <v>0.1</v>
          </cell>
          <cell r="I387">
            <v>0.1</v>
          </cell>
          <cell r="J387">
            <v>0.1</v>
          </cell>
          <cell r="K387">
            <v>0.1</v>
          </cell>
          <cell r="L387">
            <v>0.1</v>
          </cell>
          <cell r="M387">
            <v>0.1</v>
          </cell>
          <cell r="N387">
            <v>0.1</v>
          </cell>
          <cell r="P387">
            <v>0.1</v>
          </cell>
          <cell r="Q387">
            <v>0.1</v>
          </cell>
          <cell r="R387">
            <v>0.1</v>
          </cell>
          <cell r="S387">
            <v>0.1</v>
          </cell>
          <cell r="U387">
            <v>9.0000000000000011E-2</v>
          </cell>
          <cell r="V387">
            <v>8.1000000000000016E-2</v>
          </cell>
          <cell r="W387">
            <v>7.290000000000002E-2</v>
          </cell>
        </row>
        <row r="388">
          <cell r="A388" t="str">
            <v>Ufa</v>
          </cell>
          <cell r="B388">
            <v>0.09</v>
          </cell>
          <cell r="C388">
            <v>0.09</v>
          </cell>
          <cell r="D388">
            <v>0.09</v>
          </cell>
          <cell r="E388">
            <v>0.09</v>
          </cell>
          <cell r="F388">
            <v>0.09</v>
          </cell>
          <cell r="G388">
            <v>0.09</v>
          </cell>
          <cell r="H388">
            <v>0.09</v>
          </cell>
          <cell r="I388">
            <v>0.09</v>
          </cell>
          <cell r="J388">
            <v>0.09</v>
          </cell>
          <cell r="K388">
            <v>0.09</v>
          </cell>
          <cell r="L388">
            <v>0.09</v>
          </cell>
          <cell r="M388">
            <v>0.09</v>
          </cell>
          <cell r="N388">
            <v>0.09</v>
          </cell>
          <cell r="P388">
            <v>0.09</v>
          </cell>
          <cell r="Q388">
            <v>0.09</v>
          </cell>
          <cell r="R388">
            <v>0.09</v>
          </cell>
          <cell r="S388">
            <v>0.09</v>
          </cell>
          <cell r="U388">
            <v>8.1000000000000003E-2</v>
          </cell>
          <cell r="V388">
            <v>7.2900000000000006E-2</v>
          </cell>
          <cell r="W388">
            <v>6.5610000000000002E-2</v>
          </cell>
        </row>
        <row r="389">
          <cell r="A389" t="str">
            <v>Vla</v>
          </cell>
          <cell r="B389">
            <v>0.13</v>
          </cell>
          <cell r="C389">
            <v>0.13</v>
          </cell>
          <cell r="D389">
            <v>0.13</v>
          </cell>
          <cell r="E389">
            <v>0.13</v>
          </cell>
          <cell r="F389">
            <v>0.13</v>
          </cell>
          <cell r="G389">
            <v>0.13</v>
          </cell>
          <cell r="H389">
            <v>0.13</v>
          </cell>
          <cell r="I389">
            <v>0.13</v>
          </cell>
          <cell r="J389">
            <v>0.13</v>
          </cell>
          <cell r="K389">
            <v>0.13</v>
          </cell>
          <cell r="L389">
            <v>0.13</v>
          </cell>
          <cell r="M389">
            <v>0.13</v>
          </cell>
          <cell r="N389">
            <v>0.13</v>
          </cell>
          <cell r="P389">
            <v>0.13</v>
          </cell>
          <cell r="Q389">
            <v>0.13</v>
          </cell>
          <cell r="R389">
            <v>0.13</v>
          </cell>
          <cell r="S389">
            <v>0.13</v>
          </cell>
          <cell r="U389">
            <v>0.11700000000000001</v>
          </cell>
          <cell r="V389">
            <v>0.1053</v>
          </cell>
          <cell r="W389">
            <v>9.4770000000000007E-2</v>
          </cell>
        </row>
        <row r="390">
          <cell r="A390" t="str">
            <v>Vol</v>
          </cell>
          <cell r="B390">
            <v>0.1</v>
          </cell>
          <cell r="C390">
            <v>0.1</v>
          </cell>
          <cell r="D390">
            <v>0.1</v>
          </cell>
          <cell r="E390">
            <v>0.1</v>
          </cell>
          <cell r="F390">
            <v>0.1</v>
          </cell>
          <cell r="G390">
            <v>0.1</v>
          </cell>
          <cell r="H390">
            <v>0.1</v>
          </cell>
          <cell r="I390">
            <v>0.1</v>
          </cell>
          <cell r="J390">
            <v>0.1</v>
          </cell>
          <cell r="K390">
            <v>0.1</v>
          </cell>
          <cell r="L390">
            <v>0.1</v>
          </cell>
          <cell r="M390">
            <v>0.1</v>
          </cell>
          <cell r="N390">
            <v>0.1</v>
          </cell>
          <cell r="P390">
            <v>0.1</v>
          </cell>
          <cell r="Q390">
            <v>0.1</v>
          </cell>
          <cell r="R390">
            <v>0.1</v>
          </cell>
          <cell r="S390">
            <v>0.1</v>
          </cell>
          <cell r="U390">
            <v>9.0000000000000011E-2</v>
          </cell>
          <cell r="V390">
            <v>8.1000000000000016E-2</v>
          </cell>
          <cell r="W390">
            <v>7.290000000000002E-2</v>
          </cell>
        </row>
        <row r="391">
          <cell r="A391" t="str">
            <v>Vor</v>
          </cell>
          <cell r="B391">
            <v>0.05</v>
          </cell>
          <cell r="C391">
            <v>0.05</v>
          </cell>
          <cell r="D391">
            <v>0.05</v>
          </cell>
          <cell r="E391">
            <v>0.05</v>
          </cell>
          <cell r="F391">
            <v>0.05</v>
          </cell>
          <cell r="G391">
            <v>0.05</v>
          </cell>
          <cell r="H391">
            <v>0.05</v>
          </cell>
          <cell r="I391">
            <v>0.05</v>
          </cell>
          <cell r="J391">
            <v>0.05</v>
          </cell>
          <cell r="K391">
            <v>0.05</v>
          </cell>
          <cell r="L391">
            <v>0.05</v>
          </cell>
          <cell r="M391">
            <v>0.05</v>
          </cell>
          <cell r="N391">
            <v>0.05</v>
          </cell>
          <cell r="P391">
            <v>0.05</v>
          </cell>
          <cell r="Q391">
            <v>0.05</v>
          </cell>
          <cell r="R391">
            <v>0.05</v>
          </cell>
          <cell r="S391">
            <v>0.05</v>
          </cell>
          <cell r="U391">
            <v>4.5000000000000005E-2</v>
          </cell>
          <cell r="V391">
            <v>4.0500000000000008E-2</v>
          </cell>
          <cell r="W391">
            <v>3.645000000000001E-2</v>
          </cell>
        </row>
        <row r="392">
          <cell r="A392" t="str">
            <v>Sam</v>
          </cell>
          <cell r="B392">
            <v>0.12</v>
          </cell>
          <cell r="C392">
            <v>0.12</v>
          </cell>
          <cell r="D392">
            <v>0.12</v>
          </cell>
          <cell r="E392">
            <v>0.12</v>
          </cell>
          <cell r="F392">
            <v>0.12</v>
          </cell>
          <cell r="G392">
            <v>0.12</v>
          </cell>
          <cell r="H392">
            <v>0.12</v>
          </cell>
          <cell r="I392">
            <v>0.12</v>
          </cell>
          <cell r="J392">
            <v>0.12</v>
          </cell>
          <cell r="K392">
            <v>0.12</v>
          </cell>
          <cell r="L392">
            <v>0.12</v>
          </cell>
          <cell r="M392">
            <v>0.12</v>
          </cell>
          <cell r="N392">
            <v>0.12</v>
          </cell>
          <cell r="P392">
            <v>0.12</v>
          </cell>
          <cell r="Q392">
            <v>0.12</v>
          </cell>
          <cell r="R392">
            <v>0.12</v>
          </cell>
          <cell r="S392">
            <v>0.12</v>
          </cell>
          <cell r="U392">
            <v>0.108</v>
          </cell>
          <cell r="V392">
            <v>9.7199999999999995E-2</v>
          </cell>
          <cell r="W392">
            <v>8.7480000000000002E-2</v>
          </cell>
        </row>
        <row r="393">
          <cell r="A393" t="str">
            <v>Mos</v>
          </cell>
          <cell r="B393">
            <v>1.04</v>
          </cell>
          <cell r="C393">
            <v>1.04</v>
          </cell>
          <cell r="D393">
            <v>1.04</v>
          </cell>
          <cell r="E393">
            <v>1.04</v>
          </cell>
          <cell r="F393">
            <v>1.04</v>
          </cell>
          <cell r="G393">
            <v>1.04</v>
          </cell>
          <cell r="H393">
            <v>1.04</v>
          </cell>
          <cell r="I393">
            <v>1.04</v>
          </cell>
          <cell r="J393">
            <v>1.04</v>
          </cell>
          <cell r="K393">
            <v>1.04</v>
          </cell>
          <cell r="L393">
            <v>1.04</v>
          </cell>
          <cell r="M393">
            <v>1.04</v>
          </cell>
          <cell r="N393">
            <v>1.04</v>
          </cell>
          <cell r="P393">
            <v>1.04</v>
          </cell>
          <cell r="Q393">
            <v>1.04</v>
          </cell>
          <cell r="R393">
            <v>1.04</v>
          </cell>
          <cell r="S393">
            <v>1.04</v>
          </cell>
          <cell r="U393">
            <v>0.93600000000000005</v>
          </cell>
          <cell r="V393">
            <v>0.84240000000000004</v>
          </cell>
          <cell r="W393">
            <v>0.75816000000000006</v>
          </cell>
        </row>
        <row r="394">
          <cell r="A394" t="str">
            <v>Con</v>
          </cell>
          <cell r="B394">
            <v>1.1499999999999999</v>
          </cell>
          <cell r="C394">
            <v>1.1499999999999999</v>
          </cell>
          <cell r="D394">
            <v>1.1499999999999999</v>
          </cell>
          <cell r="E394">
            <v>1.1399999999999999</v>
          </cell>
          <cell r="F394">
            <v>1.1399999999999999</v>
          </cell>
          <cell r="G394">
            <v>1.1399999999999999</v>
          </cell>
          <cell r="H394">
            <v>1.1200000000000001</v>
          </cell>
          <cell r="I394">
            <v>1.1200000000000001</v>
          </cell>
          <cell r="J394">
            <v>1.1200000000000001</v>
          </cell>
          <cell r="K394">
            <v>1.05</v>
          </cell>
          <cell r="L394">
            <v>1.05</v>
          </cell>
          <cell r="M394">
            <v>1.05</v>
          </cell>
          <cell r="N394">
            <v>1</v>
          </cell>
          <cell r="P394">
            <v>1.1499999999999999</v>
          </cell>
          <cell r="Q394">
            <v>1.1499999999999999</v>
          </cell>
          <cell r="R394">
            <v>1.1499999999999999</v>
          </cell>
          <cell r="S394">
            <v>1.1499999999999999</v>
          </cell>
          <cell r="U394">
            <v>0.99327807692307712</v>
          </cell>
          <cell r="V394">
            <v>0.89395026923076948</v>
          </cell>
          <cell r="W394">
            <v>0.8045552423076926</v>
          </cell>
        </row>
        <row r="415">
          <cell r="A415" t="str">
            <v>WAC Average international tariff GPSI</v>
          </cell>
        </row>
        <row r="416">
          <cell r="B416">
            <v>36130</v>
          </cell>
          <cell r="C416">
            <v>36161</v>
          </cell>
          <cell r="D416">
            <v>36192</v>
          </cell>
          <cell r="E416">
            <v>36220</v>
          </cell>
          <cell r="F416">
            <v>36251</v>
          </cell>
          <cell r="G416">
            <v>36281</v>
          </cell>
          <cell r="H416">
            <v>36312</v>
          </cell>
          <cell r="I416">
            <v>36342</v>
          </cell>
          <cell r="J416">
            <v>36373</v>
          </cell>
          <cell r="K416">
            <v>36404</v>
          </cell>
          <cell r="L416">
            <v>36434</v>
          </cell>
          <cell r="M416">
            <v>36465</v>
          </cell>
          <cell r="N416">
            <v>36495</v>
          </cell>
          <cell r="O416" t="str">
            <v>Total 99</v>
          </cell>
          <cell r="P416" t="str">
            <v>Q1-2000</v>
          </cell>
          <cell r="Q416" t="str">
            <v>Q2-2000</v>
          </cell>
          <cell r="R416" t="str">
            <v>Q3-2000</v>
          </cell>
          <cell r="S416" t="str">
            <v>Q4-2000</v>
          </cell>
          <cell r="T416" t="str">
            <v>Total 2000</v>
          </cell>
          <cell r="U416">
            <v>2001</v>
          </cell>
          <cell r="V416">
            <v>2002</v>
          </cell>
          <cell r="W416">
            <v>2003</v>
          </cell>
        </row>
        <row r="417">
          <cell r="A417" t="str">
            <v>Ark</v>
          </cell>
          <cell r="B417">
            <v>0.2</v>
          </cell>
          <cell r="C417">
            <v>0.2</v>
          </cell>
          <cell r="D417">
            <v>0.2</v>
          </cell>
          <cell r="E417">
            <v>0.2</v>
          </cell>
          <cell r="F417">
            <v>0.2</v>
          </cell>
          <cell r="G417">
            <v>0.2</v>
          </cell>
          <cell r="H417">
            <v>0.2</v>
          </cell>
          <cell r="I417">
            <v>0.2</v>
          </cell>
          <cell r="J417">
            <v>0.2</v>
          </cell>
          <cell r="K417">
            <v>0.2</v>
          </cell>
          <cell r="L417">
            <v>0.2</v>
          </cell>
          <cell r="M417">
            <v>0.2</v>
          </cell>
          <cell r="N417">
            <v>0.2</v>
          </cell>
          <cell r="P417">
            <v>0.2</v>
          </cell>
          <cell r="Q417">
            <v>0.2</v>
          </cell>
          <cell r="R417">
            <v>0.2</v>
          </cell>
          <cell r="S417">
            <v>0.2</v>
          </cell>
          <cell r="U417">
            <v>0.19</v>
          </cell>
          <cell r="V417">
            <v>0.18049999999999999</v>
          </cell>
          <cell r="W417">
            <v>0.17147499999999999</v>
          </cell>
        </row>
        <row r="418">
          <cell r="A418" t="str">
            <v>Eka</v>
          </cell>
          <cell r="B418">
            <v>0.2</v>
          </cell>
          <cell r="C418">
            <v>0.2</v>
          </cell>
          <cell r="D418">
            <v>0.2</v>
          </cell>
          <cell r="E418">
            <v>0.2</v>
          </cell>
          <cell r="F418">
            <v>0.2</v>
          </cell>
          <cell r="G418">
            <v>0.2</v>
          </cell>
          <cell r="H418">
            <v>0.2</v>
          </cell>
          <cell r="I418">
            <v>0.2</v>
          </cell>
          <cell r="J418">
            <v>0.2</v>
          </cell>
          <cell r="K418">
            <v>0.2</v>
          </cell>
          <cell r="L418">
            <v>0.2</v>
          </cell>
          <cell r="M418">
            <v>0.2</v>
          </cell>
          <cell r="N418">
            <v>0.2</v>
          </cell>
          <cell r="P418">
            <v>0.2</v>
          </cell>
          <cell r="Q418">
            <v>0.2</v>
          </cell>
          <cell r="R418">
            <v>0.2</v>
          </cell>
          <cell r="S418">
            <v>0.2</v>
          </cell>
          <cell r="U418">
            <v>0.19</v>
          </cell>
          <cell r="V418">
            <v>0.18049999999999999</v>
          </cell>
          <cell r="W418">
            <v>0.17147499999999999</v>
          </cell>
        </row>
        <row r="419">
          <cell r="A419" t="str">
            <v>Irk</v>
          </cell>
          <cell r="B419">
            <v>0.2</v>
          </cell>
          <cell r="C419">
            <v>0.2</v>
          </cell>
          <cell r="D419">
            <v>0.2</v>
          </cell>
          <cell r="E419">
            <v>0.2</v>
          </cell>
          <cell r="F419">
            <v>0.2</v>
          </cell>
          <cell r="G419">
            <v>0.2</v>
          </cell>
          <cell r="H419">
            <v>0.2</v>
          </cell>
          <cell r="I419">
            <v>0.2</v>
          </cell>
          <cell r="J419">
            <v>0.2</v>
          </cell>
          <cell r="K419">
            <v>0.2</v>
          </cell>
          <cell r="L419">
            <v>0.2</v>
          </cell>
          <cell r="M419">
            <v>0.2</v>
          </cell>
          <cell r="N419">
            <v>0.2</v>
          </cell>
          <cell r="P419">
            <v>0.2</v>
          </cell>
          <cell r="Q419">
            <v>0.2</v>
          </cell>
          <cell r="R419">
            <v>0.2</v>
          </cell>
          <cell r="S419">
            <v>0.2</v>
          </cell>
          <cell r="U419">
            <v>0.19</v>
          </cell>
          <cell r="V419">
            <v>0.18049999999999999</v>
          </cell>
          <cell r="W419">
            <v>0.17147499999999999</v>
          </cell>
        </row>
        <row r="420">
          <cell r="A420" t="str">
            <v>Kha</v>
          </cell>
          <cell r="B420">
            <v>0.2</v>
          </cell>
          <cell r="C420">
            <v>0.2</v>
          </cell>
          <cell r="D420">
            <v>0.2</v>
          </cell>
          <cell r="E420">
            <v>0.2</v>
          </cell>
          <cell r="F420">
            <v>0.2</v>
          </cell>
          <cell r="G420">
            <v>0.2</v>
          </cell>
          <cell r="H420">
            <v>0.2</v>
          </cell>
          <cell r="I420">
            <v>0.2</v>
          </cell>
          <cell r="J420">
            <v>0.2</v>
          </cell>
          <cell r="K420">
            <v>0.2</v>
          </cell>
          <cell r="L420">
            <v>0.2</v>
          </cell>
          <cell r="M420">
            <v>0.2</v>
          </cell>
          <cell r="N420">
            <v>0.2</v>
          </cell>
          <cell r="P420">
            <v>0.2</v>
          </cell>
          <cell r="Q420">
            <v>0.2</v>
          </cell>
          <cell r="R420">
            <v>0.2</v>
          </cell>
          <cell r="S420">
            <v>0.2</v>
          </cell>
          <cell r="U420">
            <v>0.19</v>
          </cell>
          <cell r="V420">
            <v>0.18049999999999999</v>
          </cell>
          <cell r="W420">
            <v>0.17147499999999999</v>
          </cell>
        </row>
        <row r="421">
          <cell r="A421" t="str">
            <v>Kra</v>
          </cell>
          <cell r="B421">
            <v>0.2</v>
          </cell>
          <cell r="C421">
            <v>0.2</v>
          </cell>
          <cell r="D421">
            <v>0.2</v>
          </cell>
          <cell r="E421">
            <v>0.2</v>
          </cell>
          <cell r="F421">
            <v>0.2</v>
          </cell>
          <cell r="G421">
            <v>0.2</v>
          </cell>
          <cell r="H421">
            <v>0.2</v>
          </cell>
          <cell r="I421">
            <v>0.2</v>
          </cell>
          <cell r="J421">
            <v>0.2</v>
          </cell>
          <cell r="K421">
            <v>0.2</v>
          </cell>
          <cell r="L421">
            <v>0.2</v>
          </cell>
          <cell r="M421">
            <v>0.2</v>
          </cell>
          <cell r="N421">
            <v>0.2</v>
          </cell>
          <cell r="P421">
            <v>0.2</v>
          </cell>
          <cell r="Q421">
            <v>0.2</v>
          </cell>
          <cell r="R421">
            <v>0.2</v>
          </cell>
          <cell r="S421">
            <v>0.2</v>
          </cell>
          <cell r="U421">
            <v>0.19</v>
          </cell>
          <cell r="V421">
            <v>0.18049999999999999</v>
          </cell>
          <cell r="W421">
            <v>0.17147499999999999</v>
          </cell>
        </row>
        <row r="422">
          <cell r="A422" t="str">
            <v>Niz</v>
          </cell>
          <cell r="B422">
            <v>0.2</v>
          </cell>
          <cell r="C422">
            <v>0.2</v>
          </cell>
          <cell r="D422">
            <v>0.2</v>
          </cell>
          <cell r="E422">
            <v>0.2</v>
          </cell>
          <cell r="F422">
            <v>0.2</v>
          </cell>
          <cell r="G422">
            <v>0.2</v>
          </cell>
          <cell r="H422">
            <v>0.2</v>
          </cell>
          <cell r="I422">
            <v>0.2</v>
          </cell>
          <cell r="J422">
            <v>0.2</v>
          </cell>
          <cell r="K422">
            <v>0.2</v>
          </cell>
          <cell r="L422">
            <v>0.2</v>
          </cell>
          <cell r="M422">
            <v>0.2</v>
          </cell>
          <cell r="N422">
            <v>0.2</v>
          </cell>
          <cell r="P422">
            <v>0.2</v>
          </cell>
          <cell r="Q422">
            <v>0.2</v>
          </cell>
          <cell r="R422">
            <v>0.2</v>
          </cell>
          <cell r="S422">
            <v>0.2</v>
          </cell>
          <cell r="U422">
            <v>0.19</v>
          </cell>
          <cell r="V422">
            <v>0.18049999999999999</v>
          </cell>
          <cell r="W422">
            <v>0.17147499999999999</v>
          </cell>
        </row>
        <row r="423">
          <cell r="A423" t="str">
            <v>Nov</v>
          </cell>
          <cell r="B423">
            <v>0.2</v>
          </cell>
          <cell r="C423">
            <v>0.2</v>
          </cell>
          <cell r="D423">
            <v>0.2</v>
          </cell>
          <cell r="E423">
            <v>0.2</v>
          </cell>
          <cell r="F423">
            <v>0.2</v>
          </cell>
          <cell r="G423">
            <v>0.2</v>
          </cell>
          <cell r="H423">
            <v>0.2</v>
          </cell>
          <cell r="I423">
            <v>0.2</v>
          </cell>
          <cell r="J423">
            <v>0.2</v>
          </cell>
          <cell r="K423">
            <v>0.2</v>
          </cell>
          <cell r="L423">
            <v>0.2</v>
          </cell>
          <cell r="M423">
            <v>0.2</v>
          </cell>
          <cell r="N423">
            <v>0.2</v>
          </cell>
          <cell r="P423">
            <v>0.2</v>
          </cell>
          <cell r="Q423">
            <v>0.2</v>
          </cell>
          <cell r="R423">
            <v>0.2</v>
          </cell>
          <cell r="S423">
            <v>0.2</v>
          </cell>
          <cell r="U423">
            <v>0.19</v>
          </cell>
          <cell r="V423">
            <v>0.18049999999999999</v>
          </cell>
          <cell r="W423">
            <v>0.17147499999999999</v>
          </cell>
        </row>
        <row r="424">
          <cell r="A424" t="str">
            <v>Syk</v>
          </cell>
          <cell r="B424">
            <v>0.25</v>
          </cell>
          <cell r="C424">
            <v>0.25</v>
          </cell>
          <cell r="D424">
            <v>0.25</v>
          </cell>
          <cell r="E424">
            <v>0.25</v>
          </cell>
          <cell r="F424">
            <v>0.25</v>
          </cell>
          <cell r="G424">
            <v>0.25</v>
          </cell>
          <cell r="H424">
            <v>0.25</v>
          </cell>
          <cell r="I424">
            <v>0.25</v>
          </cell>
          <cell r="J424">
            <v>0.25</v>
          </cell>
          <cell r="K424">
            <v>0.25</v>
          </cell>
          <cell r="L424">
            <v>0.25</v>
          </cell>
          <cell r="M424">
            <v>0.25</v>
          </cell>
          <cell r="N424">
            <v>0.25</v>
          </cell>
          <cell r="P424">
            <v>0.25</v>
          </cell>
          <cell r="Q424">
            <v>0.25</v>
          </cell>
          <cell r="R424">
            <v>0.25</v>
          </cell>
          <cell r="S424">
            <v>0.25</v>
          </cell>
          <cell r="U424">
            <v>0.23749999999999999</v>
          </cell>
          <cell r="V424">
            <v>0.22562499999999999</v>
          </cell>
          <cell r="W424">
            <v>0.21434374999999997</v>
          </cell>
        </row>
        <row r="425">
          <cell r="A425" t="str">
            <v>Tyu</v>
          </cell>
          <cell r="B425">
            <v>0.2</v>
          </cell>
          <cell r="C425">
            <v>0.2</v>
          </cell>
          <cell r="D425">
            <v>0.2</v>
          </cell>
          <cell r="E425">
            <v>0.2</v>
          </cell>
          <cell r="F425">
            <v>0.2</v>
          </cell>
          <cell r="G425">
            <v>0.2</v>
          </cell>
          <cell r="H425">
            <v>0.2</v>
          </cell>
          <cell r="I425">
            <v>0.2</v>
          </cell>
          <cell r="J425">
            <v>0.2</v>
          </cell>
          <cell r="K425">
            <v>0.2</v>
          </cell>
          <cell r="L425">
            <v>0.2</v>
          </cell>
          <cell r="M425">
            <v>0.2</v>
          </cell>
          <cell r="N425">
            <v>0.2</v>
          </cell>
          <cell r="P425">
            <v>0.2</v>
          </cell>
          <cell r="Q425">
            <v>0.2</v>
          </cell>
          <cell r="R425">
            <v>0.2</v>
          </cell>
          <cell r="S425">
            <v>0.2</v>
          </cell>
          <cell r="U425">
            <v>0.19</v>
          </cell>
          <cell r="V425">
            <v>0.18049999999999999</v>
          </cell>
          <cell r="W425">
            <v>0.17147499999999999</v>
          </cell>
        </row>
        <row r="426">
          <cell r="A426" t="str">
            <v>Ufa</v>
          </cell>
          <cell r="B426">
            <v>0.2</v>
          </cell>
          <cell r="C426">
            <v>0.2</v>
          </cell>
          <cell r="D426">
            <v>0.2</v>
          </cell>
          <cell r="E426">
            <v>0.2</v>
          </cell>
          <cell r="F426">
            <v>0.2</v>
          </cell>
          <cell r="G426">
            <v>0.2</v>
          </cell>
          <cell r="H426">
            <v>0.2</v>
          </cell>
          <cell r="I426">
            <v>0.2</v>
          </cell>
          <cell r="J426">
            <v>0.2</v>
          </cell>
          <cell r="K426">
            <v>0.2</v>
          </cell>
          <cell r="L426">
            <v>0.2</v>
          </cell>
          <cell r="M426">
            <v>0.2</v>
          </cell>
          <cell r="N426">
            <v>0.2</v>
          </cell>
          <cell r="P426">
            <v>0.2</v>
          </cell>
          <cell r="Q426">
            <v>0.2</v>
          </cell>
          <cell r="R426">
            <v>0.2</v>
          </cell>
          <cell r="S426">
            <v>0.2</v>
          </cell>
          <cell r="U426">
            <v>0.19</v>
          </cell>
          <cell r="V426">
            <v>0.18049999999999999</v>
          </cell>
          <cell r="W426">
            <v>0.17147499999999999</v>
          </cell>
        </row>
        <row r="427">
          <cell r="A427" t="str">
            <v>Vla</v>
          </cell>
          <cell r="B427">
            <v>0.2</v>
          </cell>
          <cell r="C427">
            <v>0.2</v>
          </cell>
          <cell r="D427">
            <v>0.2</v>
          </cell>
          <cell r="E427">
            <v>0.2</v>
          </cell>
          <cell r="F427">
            <v>0.2</v>
          </cell>
          <cell r="G427">
            <v>0.2</v>
          </cell>
          <cell r="H427">
            <v>0.2</v>
          </cell>
          <cell r="I427">
            <v>0.2</v>
          </cell>
          <cell r="J427">
            <v>0.2</v>
          </cell>
          <cell r="K427">
            <v>0.2</v>
          </cell>
          <cell r="L427">
            <v>0.2</v>
          </cell>
          <cell r="M427">
            <v>0.2</v>
          </cell>
          <cell r="N427">
            <v>0.2</v>
          </cell>
          <cell r="P427">
            <v>0.2</v>
          </cell>
          <cell r="Q427">
            <v>0.2</v>
          </cell>
          <cell r="R427">
            <v>0.2</v>
          </cell>
          <cell r="S427">
            <v>0.2</v>
          </cell>
          <cell r="U427">
            <v>0.19</v>
          </cell>
          <cell r="V427">
            <v>0.18049999999999999</v>
          </cell>
          <cell r="W427">
            <v>0.17147499999999999</v>
          </cell>
        </row>
        <row r="428">
          <cell r="A428" t="str">
            <v>Vol</v>
          </cell>
          <cell r="B428">
            <v>0.2</v>
          </cell>
          <cell r="C428">
            <v>0.2</v>
          </cell>
          <cell r="D428">
            <v>0.2</v>
          </cell>
          <cell r="E428">
            <v>0.2</v>
          </cell>
          <cell r="F428">
            <v>0.2</v>
          </cell>
          <cell r="G428">
            <v>0.2</v>
          </cell>
          <cell r="H428">
            <v>0.2</v>
          </cell>
          <cell r="I428">
            <v>0.2</v>
          </cell>
          <cell r="J428">
            <v>0.2</v>
          </cell>
          <cell r="K428">
            <v>0.2</v>
          </cell>
          <cell r="L428">
            <v>0.2</v>
          </cell>
          <cell r="M428">
            <v>0.2</v>
          </cell>
          <cell r="N428">
            <v>0.2</v>
          </cell>
          <cell r="P428">
            <v>0.2</v>
          </cell>
          <cell r="Q428">
            <v>0.2</v>
          </cell>
          <cell r="R428">
            <v>0.2</v>
          </cell>
          <cell r="S428">
            <v>0.2</v>
          </cell>
          <cell r="U428">
            <v>0.19</v>
          </cell>
          <cell r="V428">
            <v>0.18049999999999999</v>
          </cell>
          <cell r="W428">
            <v>0.17147499999999999</v>
          </cell>
        </row>
        <row r="429">
          <cell r="A429" t="str">
            <v>Vor</v>
          </cell>
          <cell r="B429">
            <v>0.2</v>
          </cell>
          <cell r="C429">
            <v>0.2</v>
          </cell>
          <cell r="D429">
            <v>0.2</v>
          </cell>
          <cell r="E429">
            <v>0.2</v>
          </cell>
          <cell r="F429">
            <v>0.2</v>
          </cell>
          <cell r="G429">
            <v>0.2</v>
          </cell>
          <cell r="H429">
            <v>0.2</v>
          </cell>
          <cell r="I429">
            <v>0.2</v>
          </cell>
          <cell r="J429">
            <v>0.2</v>
          </cell>
          <cell r="K429">
            <v>0.2</v>
          </cell>
          <cell r="L429">
            <v>0.2</v>
          </cell>
          <cell r="M429">
            <v>0.2</v>
          </cell>
          <cell r="N429">
            <v>0.2</v>
          </cell>
          <cell r="P429">
            <v>0.2</v>
          </cell>
          <cell r="Q429">
            <v>0.2</v>
          </cell>
          <cell r="R429">
            <v>0.2</v>
          </cell>
          <cell r="S429">
            <v>0.2</v>
          </cell>
          <cell r="U429">
            <v>0.19</v>
          </cell>
          <cell r="V429">
            <v>0.18049999999999999</v>
          </cell>
          <cell r="W429">
            <v>0.17147499999999999</v>
          </cell>
        </row>
        <row r="430">
          <cell r="A430" t="str">
            <v>Sam</v>
          </cell>
          <cell r="B430">
            <v>0.2</v>
          </cell>
          <cell r="C430">
            <v>0.2</v>
          </cell>
          <cell r="D430">
            <v>0.2</v>
          </cell>
          <cell r="E430">
            <v>0.2</v>
          </cell>
          <cell r="F430">
            <v>0.2</v>
          </cell>
          <cell r="G430">
            <v>0.2</v>
          </cell>
          <cell r="H430">
            <v>0.2</v>
          </cell>
          <cell r="I430">
            <v>0.2</v>
          </cell>
          <cell r="J430">
            <v>0.2</v>
          </cell>
          <cell r="K430">
            <v>0.2</v>
          </cell>
          <cell r="L430">
            <v>0.2</v>
          </cell>
          <cell r="M430">
            <v>0.2</v>
          </cell>
          <cell r="N430">
            <v>0.2</v>
          </cell>
          <cell r="P430">
            <v>0.2</v>
          </cell>
          <cell r="Q430">
            <v>0.2</v>
          </cell>
          <cell r="R430">
            <v>0.2</v>
          </cell>
          <cell r="S430">
            <v>0.2</v>
          </cell>
          <cell r="U430">
            <v>0.19</v>
          </cell>
          <cell r="V430">
            <v>0.18049999999999999</v>
          </cell>
          <cell r="W430">
            <v>0.17147499999999999</v>
          </cell>
        </row>
        <row r="431">
          <cell r="A431" t="str">
            <v>Mos</v>
          </cell>
          <cell r="B431">
            <v>1.75</v>
          </cell>
          <cell r="C431">
            <v>1.75</v>
          </cell>
          <cell r="D431">
            <v>1.75</v>
          </cell>
          <cell r="E431">
            <v>1.75</v>
          </cell>
          <cell r="F431">
            <v>1.75</v>
          </cell>
          <cell r="G431">
            <v>1.75</v>
          </cell>
          <cell r="H431">
            <v>1.75</v>
          </cell>
          <cell r="I431">
            <v>1.75</v>
          </cell>
          <cell r="J431">
            <v>1.75</v>
          </cell>
          <cell r="K431">
            <v>1.75</v>
          </cell>
          <cell r="L431">
            <v>1.75</v>
          </cell>
          <cell r="M431">
            <v>1.75</v>
          </cell>
          <cell r="N431">
            <v>1.75</v>
          </cell>
          <cell r="P431">
            <v>1.75</v>
          </cell>
          <cell r="Q431">
            <v>1.75</v>
          </cell>
          <cell r="R431">
            <v>1.75</v>
          </cell>
          <cell r="S431">
            <v>1.75</v>
          </cell>
          <cell r="U431">
            <v>1.6624999999999999</v>
          </cell>
          <cell r="V431">
            <v>1.5793749999999998</v>
          </cell>
          <cell r="W431">
            <v>1.5004062499999997</v>
          </cell>
        </row>
        <row r="432">
          <cell r="A432" t="str">
            <v>Con</v>
          </cell>
          <cell r="B432">
            <v>2.1</v>
          </cell>
          <cell r="C432">
            <v>2.1</v>
          </cell>
          <cell r="D432">
            <v>2.1</v>
          </cell>
          <cell r="E432">
            <v>2.1</v>
          </cell>
          <cell r="F432">
            <v>2.1</v>
          </cell>
          <cell r="G432">
            <v>2.1</v>
          </cell>
          <cell r="H432">
            <v>2.0474999999999999</v>
          </cell>
          <cell r="I432">
            <v>2.0474999999999999</v>
          </cell>
          <cell r="J432">
            <v>2.0474999999999999</v>
          </cell>
          <cell r="K432">
            <v>2.0474999999999999</v>
          </cell>
          <cell r="L432">
            <v>2.0474999999999999</v>
          </cell>
          <cell r="M432">
            <v>2.0474999999999999</v>
          </cell>
          <cell r="N432">
            <v>1.9963124999999999</v>
          </cell>
          <cell r="P432">
            <v>1.9963124999999999</v>
          </cell>
          <cell r="Q432">
            <v>1.9963124999999999</v>
          </cell>
          <cell r="R432">
            <v>1.9963124999999999</v>
          </cell>
          <cell r="S432">
            <v>1.9963124999999999</v>
          </cell>
          <cell r="U432">
            <v>1.8964968749999997</v>
          </cell>
          <cell r="V432">
            <v>1.8016720312499996</v>
          </cell>
          <cell r="W432">
            <v>1.7115884296874995</v>
          </cell>
        </row>
        <row r="452">
          <cell r="A452" t="str">
            <v>WAD Installation fee GPSI</v>
          </cell>
        </row>
        <row r="453">
          <cell r="B453">
            <v>36130</v>
          </cell>
          <cell r="C453">
            <v>36161</v>
          </cell>
          <cell r="D453">
            <v>36192</v>
          </cell>
          <cell r="E453">
            <v>36220</v>
          </cell>
          <cell r="F453">
            <v>36251</v>
          </cell>
          <cell r="G453">
            <v>36281</v>
          </cell>
          <cell r="H453">
            <v>36312</v>
          </cell>
          <cell r="I453">
            <v>36342</v>
          </cell>
          <cell r="J453">
            <v>36373</v>
          </cell>
          <cell r="K453">
            <v>36404</v>
          </cell>
          <cell r="L453">
            <v>36434</v>
          </cell>
          <cell r="M453">
            <v>36465</v>
          </cell>
          <cell r="N453">
            <v>36495</v>
          </cell>
          <cell r="O453" t="str">
            <v>Total 99</v>
          </cell>
          <cell r="P453" t="str">
            <v>Q1-2000</v>
          </cell>
          <cell r="Q453" t="str">
            <v>Q2-2000</v>
          </cell>
          <cell r="R453" t="str">
            <v>Q3-2000</v>
          </cell>
          <cell r="S453" t="str">
            <v>Q4-2000</v>
          </cell>
          <cell r="T453" t="str">
            <v>Total 2000</v>
          </cell>
          <cell r="U453">
            <v>2001</v>
          </cell>
          <cell r="V453">
            <v>2002</v>
          </cell>
          <cell r="W453">
            <v>2003</v>
          </cell>
        </row>
        <row r="454">
          <cell r="A454" t="str">
            <v>Ark</v>
          </cell>
          <cell r="C454">
            <v>42</v>
          </cell>
          <cell r="D454">
            <v>42</v>
          </cell>
          <cell r="E454">
            <v>42</v>
          </cell>
          <cell r="F454">
            <v>42</v>
          </cell>
          <cell r="G454">
            <v>42</v>
          </cell>
          <cell r="H454">
            <v>42</v>
          </cell>
          <cell r="I454">
            <v>42</v>
          </cell>
          <cell r="J454">
            <v>42</v>
          </cell>
          <cell r="K454">
            <v>42</v>
          </cell>
          <cell r="L454">
            <v>42</v>
          </cell>
          <cell r="M454">
            <v>42</v>
          </cell>
          <cell r="N454">
            <v>42</v>
          </cell>
          <cell r="P454">
            <v>42</v>
          </cell>
          <cell r="Q454">
            <v>42</v>
          </cell>
          <cell r="R454">
            <v>42</v>
          </cell>
          <cell r="S454">
            <v>42</v>
          </cell>
          <cell r="U454">
            <v>42</v>
          </cell>
          <cell r="V454">
            <v>42</v>
          </cell>
          <cell r="W454">
            <v>42</v>
          </cell>
        </row>
        <row r="455">
          <cell r="A455" t="str">
            <v>Eka</v>
          </cell>
          <cell r="C455">
            <v>42</v>
          </cell>
          <cell r="D455">
            <v>42</v>
          </cell>
          <cell r="E455">
            <v>42</v>
          </cell>
          <cell r="F455">
            <v>42</v>
          </cell>
          <cell r="G455">
            <v>42</v>
          </cell>
          <cell r="H455">
            <v>42</v>
          </cell>
          <cell r="I455">
            <v>42</v>
          </cell>
          <cell r="J455">
            <v>42</v>
          </cell>
          <cell r="K455">
            <v>42</v>
          </cell>
          <cell r="L455">
            <v>42</v>
          </cell>
          <cell r="M455">
            <v>42</v>
          </cell>
          <cell r="N455">
            <v>42</v>
          </cell>
          <cell r="P455">
            <v>42</v>
          </cell>
          <cell r="Q455">
            <v>42</v>
          </cell>
          <cell r="R455">
            <v>42</v>
          </cell>
          <cell r="S455">
            <v>42</v>
          </cell>
          <cell r="U455">
            <v>42</v>
          </cell>
          <cell r="V455">
            <v>42</v>
          </cell>
          <cell r="W455">
            <v>42</v>
          </cell>
        </row>
        <row r="456">
          <cell r="A456" t="str">
            <v>Irk</v>
          </cell>
          <cell r="C456">
            <v>42</v>
          </cell>
          <cell r="D456">
            <v>42</v>
          </cell>
          <cell r="E456">
            <v>42</v>
          </cell>
          <cell r="F456">
            <v>42</v>
          </cell>
          <cell r="G456">
            <v>42</v>
          </cell>
          <cell r="H456">
            <v>42</v>
          </cell>
          <cell r="I456">
            <v>42</v>
          </cell>
          <cell r="J456">
            <v>42</v>
          </cell>
          <cell r="K456">
            <v>42</v>
          </cell>
          <cell r="L456">
            <v>42</v>
          </cell>
          <cell r="M456">
            <v>42</v>
          </cell>
          <cell r="N456">
            <v>42</v>
          </cell>
          <cell r="P456">
            <v>42</v>
          </cell>
          <cell r="Q456">
            <v>42</v>
          </cell>
          <cell r="R456">
            <v>42</v>
          </cell>
          <cell r="S456">
            <v>42</v>
          </cell>
          <cell r="U456">
            <v>42</v>
          </cell>
          <cell r="V456">
            <v>42</v>
          </cell>
          <cell r="W456">
            <v>42</v>
          </cell>
        </row>
        <row r="457">
          <cell r="A457" t="str">
            <v>Kha</v>
          </cell>
          <cell r="C457">
            <v>42</v>
          </cell>
          <cell r="D457">
            <v>42</v>
          </cell>
          <cell r="E457">
            <v>42</v>
          </cell>
          <cell r="F457">
            <v>42</v>
          </cell>
          <cell r="G457">
            <v>42</v>
          </cell>
          <cell r="H457">
            <v>42</v>
          </cell>
          <cell r="I457">
            <v>42</v>
          </cell>
          <cell r="J457">
            <v>42</v>
          </cell>
          <cell r="K457">
            <v>42</v>
          </cell>
          <cell r="L457">
            <v>42</v>
          </cell>
          <cell r="M457">
            <v>42</v>
          </cell>
          <cell r="N457">
            <v>42</v>
          </cell>
          <cell r="P457">
            <v>42</v>
          </cell>
          <cell r="Q457">
            <v>42</v>
          </cell>
          <cell r="R457">
            <v>42</v>
          </cell>
          <cell r="S457">
            <v>42</v>
          </cell>
          <cell r="U457">
            <v>42</v>
          </cell>
          <cell r="V457">
            <v>42</v>
          </cell>
          <cell r="W457">
            <v>42</v>
          </cell>
        </row>
        <row r="458">
          <cell r="A458" t="str">
            <v>Kra</v>
          </cell>
          <cell r="C458">
            <v>42</v>
          </cell>
          <cell r="D458">
            <v>42</v>
          </cell>
          <cell r="E458">
            <v>42</v>
          </cell>
          <cell r="F458">
            <v>42</v>
          </cell>
          <cell r="G458">
            <v>42</v>
          </cell>
          <cell r="H458">
            <v>42</v>
          </cell>
          <cell r="I458">
            <v>42</v>
          </cell>
          <cell r="J458">
            <v>42</v>
          </cell>
          <cell r="K458">
            <v>42</v>
          </cell>
          <cell r="L458">
            <v>42</v>
          </cell>
          <cell r="M458">
            <v>42</v>
          </cell>
          <cell r="N458">
            <v>42</v>
          </cell>
          <cell r="P458">
            <v>42</v>
          </cell>
          <cell r="Q458">
            <v>42</v>
          </cell>
          <cell r="R458">
            <v>42</v>
          </cell>
          <cell r="S458">
            <v>42</v>
          </cell>
          <cell r="U458">
            <v>42</v>
          </cell>
          <cell r="V458">
            <v>42</v>
          </cell>
          <cell r="W458">
            <v>42</v>
          </cell>
        </row>
        <row r="459">
          <cell r="A459" t="str">
            <v>Niz</v>
          </cell>
          <cell r="C459">
            <v>42</v>
          </cell>
          <cell r="D459">
            <v>42</v>
          </cell>
          <cell r="E459">
            <v>42</v>
          </cell>
          <cell r="F459">
            <v>42</v>
          </cell>
          <cell r="G459">
            <v>42</v>
          </cell>
          <cell r="H459">
            <v>42</v>
          </cell>
          <cell r="I459">
            <v>42</v>
          </cell>
          <cell r="J459">
            <v>42</v>
          </cell>
          <cell r="K459">
            <v>42</v>
          </cell>
          <cell r="L459">
            <v>42</v>
          </cell>
          <cell r="M459">
            <v>42</v>
          </cell>
          <cell r="N459">
            <v>42</v>
          </cell>
          <cell r="P459">
            <v>42</v>
          </cell>
          <cell r="Q459">
            <v>42</v>
          </cell>
          <cell r="R459">
            <v>42</v>
          </cell>
          <cell r="S459">
            <v>42</v>
          </cell>
          <cell r="U459">
            <v>42</v>
          </cell>
          <cell r="V459">
            <v>42</v>
          </cell>
          <cell r="W459">
            <v>42</v>
          </cell>
        </row>
        <row r="460">
          <cell r="A460" t="str">
            <v>Nov</v>
          </cell>
          <cell r="C460">
            <v>42</v>
          </cell>
          <cell r="D460">
            <v>42</v>
          </cell>
          <cell r="E460">
            <v>42</v>
          </cell>
          <cell r="F460">
            <v>42</v>
          </cell>
          <cell r="G460">
            <v>42</v>
          </cell>
          <cell r="H460">
            <v>42</v>
          </cell>
          <cell r="I460">
            <v>42</v>
          </cell>
          <cell r="J460">
            <v>42</v>
          </cell>
          <cell r="K460">
            <v>42</v>
          </cell>
          <cell r="L460">
            <v>42</v>
          </cell>
          <cell r="M460">
            <v>42</v>
          </cell>
          <cell r="N460">
            <v>42</v>
          </cell>
          <cell r="P460">
            <v>42</v>
          </cell>
          <cell r="Q460">
            <v>42</v>
          </cell>
          <cell r="R460">
            <v>42</v>
          </cell>
          <cell r="S460">
            <v>42</v>
          </cell>
          <cell r="U460">
            <v>42</v>
          </cell>
          <cell r="V460">
            <v>42</v>
          </cell>
          <cell r="W460">
            <v>42</v>
          </cell>
        </row>
        <row r="461">
          <cell r="A461" t="str">
            <v>Syk</v>
          </cell>
          <cell r="C461">
            <v>42</v>
          </cell>
          <cell r="D461">
            <v>42</v>
          </cell>
          <cell r="E461">
            <v>42</v>
          </cell>
          <cell r="F461">
            <v>42</v>
          </cell>
          <cell r="G461">
            <v>42</v>
          </cell>
          <cell r="H461">
            <v>42</v>
          </cell>
          <cell r="I461">
            <v>42</v>
          </cell>
          <cell r="J461">
            <v>42</v>
          </cell>
          <cell r="K461">
            <v>42</v>
          </cell>
          <cell r="L461">
            <v>42</v>
          </cell>
          <cell r="M461">
            <v>42</v>
          </cell>
          <cell r="N461">
            <v>42</v>
          </cell>
          <cell r="P461">
            <v>42</v>
          </cell>
          <cell r="Q461">
            <v>42</v>
          </cell>
          <cell r="R461">
            <v>42</v>
          </cell>
          <cell r="S461">
            <v>42</v>
          </cell>
          <cell r="U461">
            <v>42</v>
          </cell>
          <cell r="V461">
            <v>42</v>
          </cell>
          <cell r="W461">
            <v>42</v>
          </cell>
        </row>
        <row r="462">
          <cell r="A462" t="str">
            <v>Tyu</v>
          </cell>
          <cell r="C462">
            <v>42</v>
          </cell>
          <cell r="D462">
            <v>42</v>
          </cell>
          <cell r="E462">
            <v>42</v>
          </cell>
          <cell r="F462">
            <v>42</v>
          </cell>
          <cell r="G462">
            <v>42</v>
          </cell>
          <cell r="H462">
            <v>42</v>
          </cell>
          <cell r="I462">
            <v>42</v>
          </cell>
          <cell r="J462">
            <v>42</v>
          </cell>
          <cell r="K462">
            <v>42</v>
          </cell>
          <cell r="L462">
            <v>42</v>
          </cell>
          <cell r="M462">
            <v>42</v>
          </cell>
          <cell r="N462">
            <v>42</v>
          </cell>
          <cell r="P462">
            <v>42</v>
          </cell>
          <cell r="Q462">
            <v>42</v>
          </cell>
          <cell r="R462">
            <v>42</v>
          </cell>
          <cell r="S462">
            <v>42</v>
          </cell>
          <cell r="U462">
            <v>42</v>
          </cell>
          <cell r="V462">
            <v>42</v>
          </cell>
          <cell r="W462">
            <v>42</v>
          </cell>
        </row>
        <row r="463">
          <cell r="A463" t="str">
            <v>Ufa</v>
          </cell>
          <cell r="C463">
            <v>42</v>
          </cell>
          <cell r="D463">
            <v>42</v>
          </cell>
          <cell r="E463">
            <v>42</v>
          </cell>
          <cell r="F463">
            <v>42</v>
          </cell>
          <cell r="G463">
            <v>42</v>
          </cell>
          <cell r="H463">
            <v>42</v>
          </cell>
          <cell r="I463">
            <v>42</v>
          </cell>
          <cell r="J463">
            <v>42</v>
          </cell>
          <cell r="K463">
            <v>42</v>
          </cell>
          <cell r="L463">
            <v>42</v>
          </cell>
          <cell r="M463">
            <v>42</v>
          </cell>
          <cell r="N463">
            <v>42</v>
          </cell>
          <cell r="P463">
            <v>42</v>
          </cell>
          <cell r="Q463">
            <v>42</v>
          </cell>
          <cell r="R463">
            <v>42</v>
          </cell>
          <cell r="S463">
            <v>42</v>
          </cell>
          <cell r="U463">
            <v>42</v>
          </cell>
          <cell r="V463">
            <v>42</v>
          </cell>
          <cell r="W463">
            <v>42</v>
          </cell>
        </row>
        <row r="464">
          <cell r="A464" t="str">
            <v>Vla</v>
          </cell>
          <cell r="C464">
            <v>42</v>
          </cell>
          <cell r="D464">
            <v>42</v>
          </cell>
          <cell r="E464">
            <v>42</v>
          </cell>
          <cell r="F464">
            <v>42</v>
          </cell>
          <cell r="G464">
            <v>42</v>
          </cell>
          <cell r="H464">
            <v>42</v>
          </cell>
          <cell r="I464">
            <v>42</v>
          </cell>
          <cell r="J464">
            <v>42</v>
          </cell>
          <cell r="K464">
            <v>42</v>
          </cell>
          <cell r="L464">
            <v>42</v>
          </cell>
          <cell r="M464">
            <v>42</v>
          </cell>
          <cell r="N464">
            <v>42</v>
          </cell>
          <cell r="P464">
            <v>42</v>
          </cell>
          <cell r="Q464">
            <v>42</v>
          </cell>
          <cell r="R464">
            <v>42</v>
          </cell>
          <cell r="S464">
            <v>42</v>
          </cell>
          <cell r="U464">
            <v>42</v>
          </cell>
          <cell r="V464">
            <v>42</v>
          </cell>
          <cell r="W464">
            <v>42</v>
          </cell>
        </row>
        <row r="465">
          <cell r="A465" t="str">
            <v>Vol</v>
          </cell>
          <cell r="C465">
            <v>42</v>
          </cell>
          <cell r="D465">
            <v>42</v>
          </cell>
          <cell r="E465">
            <v>42</v>
          </cell>
          <cell r="F465">
            <v>42</v>
          </cell>
          <cell r="G465">
            <v>42</v>
          </cell>
          <cell r="H465">
            <v>42</v>
          </cell>
          <cell r="I465">
            <v>42</v>
          </cell>
          <cell r="J465">
            <v>42</v>
          </cell>
          <cell r="K465">
            <v>42</v>
          </cell>
          <cell r="L465">
            <v>42</v>
          </cell>
          <cell r="M465">
            <v>42</v>
          </cell>
          <cell r="N465">
            <v>42</v>
          </cell>
          <cell r="P465">
            <v>42</v>
          </cell>
          <cell r="Q465">
            <v>42</v>
          </cell>
          <cell r="R465">
            <v>42</v>
          </cell>
          <cell r="S465">
            <v>42</v>
          </cell>
          <cell r="U465">
            <v>42</v>
          </cell>
          <cell r="V465">
            <v>42</v>
          </cell>
          <cell r="W465">
            <v>42</v>
          </cell>
        </row>
        <row r="466">
          <cell r="A466" t="str">
            <v>Vor</v>
          </cell>
          <cell r="C466">
            <v>42</v>
          </cell>
          <cell r="D466">
            <v>42</v>
          </cell>
          <cell r="E466">
            <v>42</v>
          </cell>
          <cell r="F466">
            <v>42</v>
          </cell>
          <cell r="G466">
            <v>42</v>
          </cell>
          <cell r="H466">
            <v>42</v>
          </cell>
          <cell r="I466">
            <v>42</v>
          </cell>
          <cell r="J466">
            <v>42</v>
          </cell>
          <cell r="K466">
            <v>42</v>
          </cell>
          <cell r="L466">
            <v>85</v>
          </cell>
          <cell r="M466">
            <v>85</v>
          </cell>
          <cell r="N466">
            <v>85</v>
          </cell>
          <cell r="P466">
            <v>85</v>
          </cell>
          <cell r="Q466">
            <v>85</v>
          </cell>
          <cell r="R466">
            <v>85</v>
          </cell>
          <cell r="S466">
            <v>85</v>
          </cell>
          <cell r="U466">
            <v>85</v>
          </cell>
          <cell r="V466">
            <v>85</v>
          </cell>
          <cell r="W466">
            <v>85</v>
          </cell>
        </row>
        <row r="467">
          <cell r="A467" t="str">
            <v>Sam</v>
          </cell>
          <cell r="C467">
            <v>42</v>
          </cell>
          <cell r="D467">
            <v>42</v>
          </cell>
          <cell r="E467">
            <v>42</v>
          </cell>
          <cell r="F467">
            <v>42</v>
          </cell>
          <cell r="G467">
            <v>42</v>
          </cell>
          <cell r="H467">
            <v>42</v>
          </cell>
          <cell r="I467">
            <v>42</v>
          </cell>
          <cell r="J467">
            <v>42</v>
          </cell>
          <cell r="K467">
            <v>42</v>
          </cell>
          <cell r="L467">
            <v>85</v>
          </cell>
          <cell r="M467">
            <v>85</v>
          </cell>
          <cell r="N467">
            <v>85</v>
          </cell>
          <cell r="P467">
            <v>85</v>
          </cell>
          <cell r="Q467">
            <v>85</v>
          </cell>
          <cell r="R467">
            <v>85</v>
          </cell>
          <cell r="S467">
            <v>85</v>
          </cell>
          <cell r="U467">
            <v>85</v>
          </cell>
          <cell r="V467">
            <v>85</v>
          </cell>
          <cell r="W467">
            <v>85</v>
          </cell>
        </row>
        <row r="468">
          <cell r="A468" t="str">
            <v>Con</v>
          </cell>
          <cell r="C468">
            <v>100</v>
          </cell>
          <cell r="D468">
            <v>100</v>
          </cell>
          <cell r="E468">
            <v>100</v>
          </cell>
          <cell r="F468">
            <v>100</v>
          </cell>
          <cell r="G468">
            <v>100</v>
          </cell>
          <cell r="H468">
            <v>100</v>
          </cell>
          <cell r="I468">
            <v>100</v>
          </cell>
          <cell r="J468">
            <v>100</v>
          </cell>
          <cell r="K468">
            <v>100</v>
          </cell>
          <cell r="L468">
            <v>100</v>
          </cell>
          <cell r="M468">
            <v>100</v>
          </cell>
          <cell r="N468">
            <v>100</v>
          </cell>
          <cell r="P468">
            <v>100</v>
          </cell>
          <cell r="Q468">
            <v>100</v>
          </cell>
          <cell r="R468">
            <v>100</v>
          </cell>
          <cell r="S468">
            <v>100</v>
          </cell>
          <cell r="U468">
            <v>100</v>
          </cell>
          <cell r="V468">
            <v>100</v>
          </cell>
          <cell r="W468">
            <v>100</v>
          </cell>
        </row>
        <row r="470">
          <cell r="A470" t="str">
            <v>WAD Monthly Fee</v>
          </cell>
        </row>
        <row r="471">
          <cell r="B471">
            <v>36130</v>
          </cell>
          <cell r="C471">
            <v>36161</v>
          </cell>
          <cell r="D471">
            <v>36192</v>
          </cell>
          <cell r="E471">
            <v>36220</v>
          </cell>
          <cell r="F471">
            <v>36251</v>
          </cell>
          <cell r="G471">
            <v>36281</v>
          </cell>
          <cell r="H471">
            <v>36312</v>
          </cell>
          <cell r="I471">
            <v>36342</v>
          </cell>
          <cell r="J471">
            <v>36373</v>
          </cell>
          <cell r="K471">
            <v>36404</v>
          </cell>
          <cell r="L471">
            <v>36434</v>
          </cell>
          <cell r="M471">
            <v>36465</v>
          </cell>
          <cell r="N471">
            <v>36495</v>
          </cell>
          <cell r="O471" t="str">
            <v>Total 99</v>
          </cell>
          <cell r="P471" t="str">
            <v>Q1-2000</v>
          </cell>
          <cell r="Q471" t="str">
            <v>Q2-2000</v>
          </cell>
          <cell r="R471" t="str">
            <v>Q3-2000</v>
          </cell>
          <cell r="S471" t="str">
            <v>Q4-2000</v>
          </cell>
          <cell r="T471" t="str">
            <v>Total 2000</v>
          </cell>
          <cell r="U471">
            <v>2001</v>
          </cell>
          <cell r="V471">
            <v>2002</v>
          </cell>
          <cell r="W471">
            <v>2003</v>
          </cell>
        </row>
        <row r="472">
          <cell r="A472" t="str">
            <v>Ark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 t="str">
            <v>Eka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 t="str">
            <v>Irk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 t="str">
            <v>Kha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 t="str">
            <v>Kra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 t="str">
            <v>Niz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 t="str">
            <v>Nov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 t="str">
            <v>Syk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 t="str">
            <v>Tyu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 t="str">
            <v>Ufa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 t="str">
            <v>Vla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 t="str">
            <v>Vol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 t="str">
            <v>Vor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 t="str">
            <v>Sam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 t="str">
            <v>97#2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 t="str">
            <v>98#1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 t="str">
            <v>98#2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 t="str">
            <v>Mos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 t="str">
            <v>Con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</row>
        <row r="510">
          <cell r="A510" t="str">
            <v>WAD Average intercity tariff GPSI</v>
          </cell>
        </row>
        <row r="511">
          <cell r="B511">
            <v>36130</v>
          </cell>
          <cell r="C511">
            <v>36161</v>
          </cell>
          <cell r="D511">
            <v>36192</v>
          </cell>
          <cell r="E511">
            <v>36220</v>
          </cell>
          <cell r="F511">
            <v>36251</v>
          </cell>
          <cell r="G511">
            <v>36281</v>
          </cell>
          <cell r="H511">
            <v>36312</v>
          </cell>
          <cell r="I511">
            <v>36342</v>
          </cell>
          <cell r="J511">
            <v>36373</v>
          </cell>
          <cell r="K511">
            <v>36404</v>
          </cell>
          <cell r="L511">
            <v>36434</v>
          </cell>
          <cell r="M511">
            <v>36465</v>
          </cell>
          <cell r="N511">
            <v>36495</v>
          </cell>
          <cell r="O511" t="str">
            <v>Total 99</v>
          </cell>
          <cell r="P511" t="str">
            <v>Q1-2000</v>
          </cell>
          <cell r="Q511" t="str">
            <v>Q2-2000</v>
          </cell>
          <cell r="R511" t="str">
            <v>Q3-2000</v>
          </cell>
          <cell r="S511" t="str">
            <v>Q4-2000</v>
          </cell>
          <cell r="T511" t="str">
            <v>Total 2000</v>
          </cell>
          <cell r="U511">
            <v>2001</v>
          </cell>
          <cell r="V511">
            <v>2002</v>
          </cell>
          <cell r="W511">
            <v>2003</v>
          </cell>
        </row>
        <row r="512">
          <cell r="A512" t="str">
            <v>Ark</v>
          </cell>
          <cell r="B512">
            <v>0.08</v>
          </cell>
          <cell r="C512">
            <v>0.08</v>
          </cell>
          <cell r="D512">
            <v>0.08</v>
          </cell>
          <cell r="E512">
            <v>0.08</v>
          </cell>
          <cell r="F512">
            <v>0.08</v>
          </cell>
          <cell r="G512">
            <v>0.08</v>
          </cell>
          <cell r="H512">
            <v>0.08</v>
          </cell>
          <cell r="I512">
            <v>0.08</v>
          </cell>
          <cell r="J512">
            <v>0.08</v>
          </cell>
          <cell r="K512">
            <v>0.08</v>
          </cell>
          <cell r="L512">
            <v>0.08</v>
          </cell>
          <cell r="M512">
            <v>0.08</v>
          </cell>
          <cell r="N512">
            <v>0.08</v>
          </cell>
          <cell r="P512">
            <v>7.2000000000000008E-2</v>
          </cell>
          <cell r="Q512">
            <v>7.2000000000000008E-2</v>
          </cell>
          <cell r="R512">
            <v>7.2000000000000008E-2</v>
          </cell>
          <cell r="S512">
            <v>7.2000000000000008E-2</v>
          </cell>
          <cell r="U512">
            <v>6.480000000000001E-2</v>
          </cell>
          <cell r="V512">
            <v>5.8320000000000011E-2</v>
          </cell>
          <cell r="W512">
            <v>5.2488000000000014E-2</v>
          </cell>
        </row>
        <row r="513">
          <cell r="A513" t="str">
            <v>Eka</v>
          </cell>
          <cell r="B513">
            <v>0.06</v>
          </cell>
          <cell r="C513">
            <v>0.06</v>
          </cell>
          <cell r="D513">
            <v>0.06</v>
          </cell>
          <cell r="E513">
            <v>0.06</v>
          </cell>
          <cell r="F513">
            <v>0.06</v>
          </cell>
          <cell r="G513">
            <v>0.06</v>
          </cell>
          <cell r="H513">
            <v>0.06</v>
          </cell>
          <cell r="I513">
            <v>0.06</v>
          </cell>
          <cell r="J513">
            <v>0.06</v>
          </cell>
          <cell r="K513">
            <v>0.06</v>
          </cell>
          <cell r="L513">
            <v>0.06</v>
          </cell>
          <cell r="M513">
            <v>0.06</v>
          </cell>
          <cell r="N513">
            <v>0.06</v>
          </cell>
          <cell r="P513">
            <v>0.06</v>
          </cell>
          <cell r="Q513">
            <v>0.06</v>
          </cell>
          <cell r="R513">
            <v>0.06</v>
          </cell>
          <cell r="S513">
            <v>0.06</v>
          </cell>
          <cell r="U513">
            <v>0.06</v>
          </cell>
          <cell r="V513">
            <v>0.06</v>
          </cell>
          <cell r="W513">
            <v>0.06</v>
          </cell>
        </row>
        <row r="514">
          <cell r="A514" t="str">
            <v>Irk</v>
          </cell>
          <cell r="B514">
            <v>7.0000000000000007E-2</v>
          </cell>
          <cell r="C514">
            <v>7.0000000000000007E-2</v>
          </cell>
          <cell r="D514">
            <v>7.0000000000000007E-2</v>
          </cell>
          <cell r="E514">
            <v>7.0000000000000007E-2</v>
          </cell>
          <cell r="F514">
            <v>7.0000000000000007E-2</v>
          </cell>
          <cell r="G514">
            <v>7.0000000000000007E-2</v>
          </cell>
          <cell r="H514">
            <v>7.0000000000000007E-2</v>
          </cell>
          <cell r="I514">
            <v>7.0000000000000007E-2</v>
          </cell>
          <cell r="J514">
            <v>7.0000000000000007E-2</v>
          </cell>
          <cell r="K514">
            <v>7.0000000000000007E-2</v>
          </cell>
          <cell r="L514">
            <v>7.0000000000000007E-2</v>
          </cell>
          <cell r="M514">
            <v>7.0000000000000007E-2</v>
          </cell>
          <cell r="N514">
            <v>7.0000000000000007E-2</v>
          </cell>
          <cell r="P514">
            <v>6.3000000000000014E-2</v>
          </cell>
          <cell r="Q514">
            <v>6.3000000000000014E-2</v>
          </cell>
          <cell r="R514">
            <v>6.3000000000000014E-2</v>
          </cell>
          <cell r="S514">
            <v>6.3000000000000014E-2</v>
          </cell>
          <cell r="U514">
            <v>5.6700000000000014E-2</v>
          </cell>
          <cell r="V514">
            <v>5.1030000000000013E-2</v>
          </cell>
          <cell r="W514">
            <v>4.5927000000000009E-2</v>
          </cell>
        </row>
        <row r="515">
          <cell r="A515" t="str">
            <v>Kha</v>
          </cell>
          <cell r="B515">
            <v>0.18</v>
          </cell>
          <cell r="C515">
            <v>0.18</v>
          </cell>
          <cell r="D515">
            <v>0.18</v>
          </cell>
          <cell r="E515">
            <v>0.18</v>
          </cell>
          <cell r="F515">
            <v>0.18</v>
          </cell>
          <cell r="G515">
            <v>0.18</v>
          </cell>
          <cell r="H515">
            <v>0.18</v>
          </cell>
          <cell r="I515">
            <v>0.18</v>
          </cell>
          <cell r="J515">
            <v>0.18</v>
          </cell>
          <cell r="K515">
            <v>0.18</v>
          </cell>
          <cell r="L515">
            <v>0.18</v>
          </cell>
          <cell r="M515">
            <v>0.18</v>
          </cell>
          <cell r="N515">
            <v>0.18</v>
          </cell>
          <cell r="P515">
            <v>0.16200000000000001</v>
          </cell>
          <cell r="Q515">
            <v>0.16200000000000001</v>
          </cell>
          <cell r="R515">
            <v>0.16200000000000001</v>
          </cell>
          <cell r="S515">
            <v>0.16200000000000001</v>
          </cell>
          <cell r="U515">
            <v>0.14580000000000001</v>
          </cell>
          <cell r="V515">
            <v>0.13122</v>
          </cell>
          <cell r="W515">
            <v>0.11809800000000001</v>
          </cell>
        </row>
        <row r="516">
          <cell r="A516" t="str">
            <v>Kra</v>
          </cell>
          <cell r="B516">
            <v>0.06</v>
          </cell>
          <cell r="C516">
            <v>0.06</v>
          </cell>
          <cell r="D516">
            <v>0.06</v>
          </cell>
          <cell r="E516">
            <v>0.06</v>
          </cell>
          <cell r="F516">
            <v>0.06</v>
          </cell>
          <cell r="G516">
            <v>0.06</v>
          </cell>
          <cell r="H516">
            <v>0.06</v>
          </cell>
          <cell r="I516">
            <v>0.06</v>
          </cell>
          <cell r="J516">
            <v>0.06</v>
          </cell>
          <cell r="K516">
            <v>0.06</v>
          </cell>
          <cell r="L516">
            <v>0.06</v>
          </cell>
          <cell r="M516">
            <v>0.06</v>
          </cell>
          <cell r="N516">
            <v>0.06</v>
          </cell>
          <cell r="P516">
            <v>0.06</v>
          </cell>
          <cell r="Q516">
            <v>0.06</v>
          </cell>
          <cell r="R516">
            <v>0.06</v>
          </cell>
          <cell r="S516">
            <v>0.06</v>
          </cell>
          <cell r="U516">
            <v>0.06</v>
          </cell>
          <cell r="V516">
            <v>0.06</v>
          </cell>
          <cell r="W516">
            <v>0.06</v>
          </cell>
        </row>
        <row r="517">
          <cell r="A517" t="str">
            <v>Niz</v>
          </cell>
          <cell r="B517">
            <v>4.4999999999999998E-2</v>
          </cell>
          <cell r="C517">
            <v>4.4999999999999998E-2</v>
          </cell>
          <cell r="D517">
            <v>4.4999999999999998E-2</v>
          </cell>
          <cell r="E517">
            <v>4.4999999999999998E-2</v>
          </cell>
          <cell r="F517">
            <v>4.4999999999999998E-2</v>
          </cell>
          <cell r="G517">
            <v>4.4999999999999998E-2</v>
          </cell>
          <cell r="H517">
            <v>4.4999999999999998E-2</v>
          </cell>
          <cell r="I517">
            <v>4.4999999999999998E-2</v>
          </cell>
          <cell r="J517">
            <v>4.4999999999999998E-2</v>
          </cell>
          <cell r="K517">
            <v>4.4999999999999998E-2</v>
          </cell>
          <cell r="L517">
            <v>4.4999999999999998E-2</v>
          </cell>
          <cell r="M517">
            <v>4.4999999999999998E-2</v>
          </cell>
          <cell r="N517">
            <v>4.4999999999999998E-2</v>
          </cell>
          <cell r="P517">
            <v>4.4999999999999998E-2</v>
          </cell>
          <cell r="Q517">
            <v>4.4999999999999998E-2</v>
          </cell>
          <cell r="R517">
            <v>4.4999999999999998E-2</v>
          </cell>
          <cell r="S517">
            <v>4.4999999999999998E-2</v>
          </cell>
          <cell r="U517">
            <v>4.4999999999999998E-2</v>
          </cell>
          <cell r="V517">
            <v>4.4999999999999998E-2</v>
          </cell>
          <cell r="W517">
            <v>4.4999999999999998E-2</v>
          </cell>
        </row>
        <row r="518">
          <cell r="A518" t="str">
            <v>Nov</v>
          </cell>
          <cell r="B518">
            <v>0.1</v>
          </cell>
          <cell r="C518">
            <v>0.1</v>
          </cell>
          <cell r="D518">
            <v>0.1</v>
          </cell>
          <cell r="E518">
            <v>0.1</v>
          </cell>
          <cell r="F518">
            <v>0.1</v>
          </cell>
          <cell r="G518">
            <v>0.1</v>
          </cell>
          <cell r="H518">
            <v>0.1</v>
          </cell>
          <cell r="I518">
            <v>0.1</v>
          </cell>
          <cell r="J518">
            <v>0.1</v>
          </cell>
          <cell r="K518">
            <v>0.1</v>
          </cell>
          <cell r="L518">
            <v>0.1</v>
          </cell>
          <cell r="M518">
            <v>0.1</v>
          </cell>
          <cell r="N518">
            <v>0.1</v>
          </cell>
          <cell r="P518">
            <v>9.0000000000000011E-2</v>
          </cell>
          <cell r="Q518">
            <v>9.0000000000000011E-2</v>
          </cell>
          <cell r="R518">
            <v>9.0000000000000011E-2</v>
          </cell>
          <cell r="S518">
            <v>9.0000000000000011E-2</v>
          </cell>
          <cell r="U518">
            <v>8.1000000000000016E-2</v>
          </cell>
          <cell r="V518">
            <v>7.290000000000002E-2</v>
          </cell>
          <cell r="W518">
            <v>6.5610000000000016E-2</v>
          </cell>
        </row>
        <row r="519">
          <cell r="A519" t="str">
            <v>Syk</v>
          </cell>
          <cell r="B519">
            <v>0.08</v>
          </cell>
          <cell r="C519">
            <v>0.08</v>
          </cell>
          <cell r="D519">
            <v>0.08</v>
          </cell>
          <cell r="E519">
            <v>0.08</v>
          </cell>
          <cell r="F519">
            <v>0.08</v>
          </cell>
          <cell r="G519">
            <v>0.08</v>
          </cell>
          <cell r="H519">
            <v>0.08</v>
          </cell>
          <cell r="I519">
            <v>0.08</v>
          </cell>
          <cell r="J519">
            <v>0.08</v>
          </cell>
          <cell r="K519">
            <v>0.08</v>
          </cell>
          <cell r="L519">
            <v>0.08</v>
          </cell>
          <cell r="M519">
            <v>0.08</v>
          </cell>
          <cell r="N519">
            <v>0.08</v>
          </cell>
          <cell r="P519">
            <v>7.2000000000000008E-2</v>
          </cell>
          <cell r="Q519">
            <v>7.2000000000000008E-2</v>
          </cell>
          <cell r="R519">
            <v>7.2000000000000008E-2</v>
          </cell>
          <cell r="S519">
            <v>7.2000000000000008E-2</v>
          </cell>
          <cell r="U519">
            <v>6.480000000000001E-2</v>
          </cell>
          <cell r="V519">
            <v>5.8320000000000011E-2</v>
          </cell>
          <cell r="W519">
            <v>5.2488000000000014E-2</v>
          </cell>
        </row>
        <row r="520">
          <cell r="A520" t="str">
            <v>Tyu</v>
          </cell>
          <cell r="B520">
            <v>0.1</v>
          </cell>
          <cell r="C520">
            <v>0.1</v>
          </cell>
          <cell r="D520">
            <v>0.1</v>
          </cell>
          <cell r="E520">
            <v>0.1</v>
          </cell>
          <cell r="F520">
            <v>0.1</v>
          </cell>
          <cell r="G520">
            <v>0.1</v>
          </cell>
          <cell r="H520">
            <v>0.1</v>
          </cell>
          <cell r="I520">
            <v>0.1</v>
          </cell>
          <cell r="J520">
            <v>0.1</v>
          </cell>
          <cell r="K520">
            <v>0.1</v>
          </cell>
          <cell r="L520">
            <v>0.1</v>
          </cell>
          <cell r="M520">
            <v>0.1</v>
          </cell>
          <cell r="N520">
            <v>0.1</v>
          </cell>
          <cell r="P520">
            <v>9.0000000000000011E-2</v>
          </cell>
          <cell r="Q520">
            <v>9.0000000000000011E-2</v>
          </cell>
          <cell r="R520">
            <v>9.0000000000000011E-2</v>
          </cell>
          <cell r="S520">
            <v>9.0000000000000011E-2</v>
          </cell>
          <cell r="U520">
            <v>8.1000000000000016E-2</v>
          </cell>
          <cell r="V520">
            <v>7.290000000000002E-2</v>
          </cell>
          <cell r="W520">
            <v>6.5610000000000016E-2</v>
          </cell>
        </row>
        <row r="521">
          <cell r="A521" t="str">
            <v>Ufa</v>
          </cell>
          <cell r="B521">
            <v>0.08</v>
          </cell>
          <cell r="C521">
            <v>0.08</v>
          </cell>
          <cell r="D521">
            <v>0.08</v>
          </cell>
          <cell r="E521">
            <v>0.08</v>
          </cell>
          <cell r="F521">
            <v>0.08</v>
          </cell>
          <cell r="G521">
            <v>0.08</v>
          </cell>
          <cell r="H521">
            <v>0.08</v>
          </cell>
          <cell r="I521">
            <v>0.08</v>
          </cell>
          <cell r="J521">
            <v>0.08</v>
          </cell>
          <cell r="K521">
            <v>0.08</v>
          </cell>
          <cell r="L521">
            <v>0.08</v>
          </cell>
          <cell r="M521">
            <v>0.08</v>
          </cell>
          <cell r="N521">
            <v>0.08</v>
          </cell>
          <cell r="P521">
            <v>7.2000000000000008E-2</v>
          </cell>
          <cell r="Q521">
            <v>7.2000000000000008E-2</v>
          </cell>
          <cell r="R521">
            <v>7.2000000000000008E-2</v>
          </cell>
          <cell r="S521">
            <v>7.2000000000000008E-2</v>
          </cell>
          <cell r="U521">
            <v>6.480000000000001E-2</v>
          </cell>
          <cell r="V521">
            <v>5.8320000000000011E-2</v>
          </cell>
          <cell r="W521">
            <v>5.2488000000000014E-2</v>
          </cell>
        </row>
        <row r="522">
          <cell r="A522" t="str">
            <v>Vla</v>
          </cell>
          <cell r="B522">
            <v>0.14000000000000001</v>
          </cell>
          <cell r="C522">
            <v>0.14000000000000001</v>
          </cell>
          <cell r="D522">
            <v>0.14000000000000001</v>
          </cell>
          <cell r="E522">
            <v>0.14000000000000001</v>
          </cell>
          <cell r="F522">
            <v>0.14000000000000001</v>
          </cell>
          <cell r="G522">
            <v>0.14000000000000001</v>
          </cell>
          <cell r="H522">
            <v>0.14000000000000001</v>
          </cell>
          <cell r="I522">
            <v>0.14000000000000001</v>
          </cell>
          <cell r="J522">
            <v>0.14000000000000001</v>
          </cell>
          <cell r="K522">
            <v>0.14000000000000001</v>
          </cell>
          <cell r="L522">
            <v>0.14000000000000001</v>
          </cell>
          <cell r="M522">
            <v>0.14000000000000001</v>
          </cell>
          <cell r="N522">
            <v>0.14000000000000001</v>
          </cell>
          <cell r="P522">
            <v>0.12600000000000003</v>
          </cell>
          <cell r="Q522">
            <v>0.12600000000000003</v>
          </cell>
          <cell r="R522">
            <v>0.12600000000000003</v>
          </cell>
          <cell r="S522">
            <v>0.12600000000000003</v>
          </cell>
          <cell r="U522">
            <v>0.11340000000000003</v>
          </cell>
          <cell r="V522">
            <v>0.10206000000000003</v>
          </cell>
          <cell r="W522">
            <v>9.1854000000000019E-2</v>
          </cell>
        </row>
        <row r="523">
          <cell r="A523" t="str">
            <v>Vol</v>
          </cell>
          <cell r="B523">
            <v>0.39</v>
          </cell>
          <cell r="C523">
            <v>0.39</v>
          </cell>
          <cell r="D523">
            <v>0.39</v>
          </cell>
          <cell r="E523">
            <v>0.39</v>
          </cell>
          <cell r="F523">
            <v>0.39</v>
          </cell>
          <cell r="G523">
            <v>0.39</v>
          </cell>
          <cell r="H523">
            <v>0.39</v>
          </cell>
          <cell r="I523">
            <v>0.39</v>
          </cell>
          <cell r="J523">
            <v>0.39</v>
          </cell>
          <cell r="K523">
            <v>0.39</v>
          </cell>
          <cell r="L523">
            <v>0.39</v>
          </cell>
          <cell r="M523">
            <v>0.39</v>
          </cell>
          <cell r="N523">
            <v>0.39</v>
          </cell>
          <cell r="P523">
            <v>0.35100000000000003</v>
          </cell>
          <cell r="Q523">
            <v>0.35100000000000003</v>
          </cell>
          <cell r="R523">
            <v>0.35100000000000003</v>
          </cell>
          <cell r="S523">
            <v>0.35100000000000003</v>
          </cell>
          <cell r="U523">
            <v>0.31590000000000001</v>
          </cell>
          <cell r="V523">
            <v>0.28431000000000001</v>
          </cell>
          <cell r="W523">
            <v>0.25587900000000002</v>
          </cell>
        </row>
        <row r="524">
          <cell r="A524" t="str">
            <v>Vor</v>
          </cell>
          <cell r="B524">
            <v>3.5000000000000003E-2</v>
          </cell>
          <cell r="C524">
            <v>3.5000000000000003E-2</v>
          </cell>
          <cell r="D524">
            <v>3.5000000000000003E-2</v>
          </cell>
          <cell r="E524">
            <v>3.5000000000000003E-2</v>
          </cell>
          <cell r="F524">
            <v>3.5000000000000003E-2</v>
          </cell>
          <cell r="G524">
            <v>3.5000000000000003E-2</v>
          </cell>
          <cell r="H524">
            <v>3.5000000000000003E-2</v>
          </cell>
          <cell r="I524">
            <v>3.5000000000000003E-2</v>
          </cell>
          <cell r="J524">
            <v>3.5000000000000003E-2</v>
          </cell>
          <cell r="K524">
            <v>3.5000000000000003E-2</v>
          </cell>
          <cell r="L524">
            <v>3.5000000000000003E-2</v>
          </cell>
          <cell r="M524">
            <v>3.5000000000000003E-2</v>
          </cell>
          <cell r="N524">
            <v>3.5000000000000003E-2</v>
          </cell>
          <cell r="P524">
            <v>3.1500000000000007E-2</v>
          </cell>
          <cell r="Q524">
            <v>3.1500000000000007E-2</v>
          </cell>
          <cell r="R524">
            <v>3.1500000000000007E-2</v>
          </cell>
          <cell r="S524">
            <v>3.1500000000000007E-2</v>
          </cell>
          <cell r="U524">
            <v>2.8350000000000007E-2</v>
          </cell>
          <cell r="V524">
            <v>2.8350000000000007E-2</v>
          </cell>
          <cell r="W524">
            <v>2.8350000000000007E-2</v>
          </cell>
        </row>
        <row r="525">
          <cell r="A525" t="str">
            <v>Sam</v>
          </cell>
          <cell r="B525">
            <v>0.11</v>
          </cell>
          <cell r="C525">
            <v>0.11</v>
          </cell>
          <cell r="D525">
            <v>0.11</v>
          </cell>
          <cell r="E525">
            <v>0.11</v>
          </cell>
          <cell r="F525">
            <v>0.11</v>
          </cell>
          <cell r="G525">
            <v>0.11</v>
          </cell>
          <cell r="H525">
            <v>0.11</v>
          </cell>
          <cell r="I525">
            <v>0.11</v>
          </cell>
          <cell r="J525">
            <v>0.11</v>
          </cell>
          <cell r="K525">
            <v>0.11</v>
          </cell>
          <cell r="L525">
            <v>0.11</v>
          </cell>
          <cell r="M525">
            <v>0.11</v>
          </cell>
          <cell r="N525">
            <v>0.11</v>
          </cell>
          <cell r="P525">
            <v>9.9000000000000005E-2</v>
          </cell>
          <cell r="Q525">
            <v>9.9000000000000005E-2</v>
          </cell>
          <cell r="R525">
            <v>9.9000000000000005E-2</v>
          </cell>
          <cell r="S525">
            <v>9.9000000000000005E-2</v>
          </cell>
          <cell r="U525">
            <v>8.9100000000000013E-2</v>
          </cell>
          <cell r="V525">
            <v>8.9100000000000013E-2</v>
          </cell>
          <cell r="W525">
            <v>8.9100000000000013E-2</v>
          </cell>
        </row>
        <row r="526">
          <cell r="A526" t="str">
            <v>Con</v>
          </cell>
          <cell r="B526">
            <v>1</v>
          </cell>
          <cell r="C526">
            <v>1</v>
          </cell>
          <cell r="D526">
            <v>1</v>
          </cell>
          <cell r="E526">
            <v>1</v>
          </cell>
          <cell r="F526">
            <v>1</v>
          </cell>
          <cell r="G526">
            <v>1</v>
          </cell>
          <cell r="H526">
            <v>1</v>
          </cell>
          <cell r="I526">
            <v>1</v>
          </cell>
          <cell r="J526">
            <v>1</v>
          </cell>
          <cell r="K526">
            <v>1</v>
          </cell>
          <cell r="L526">
            <v>1</v>
          </cell>
          <cell r="M526">
            <v>1</v>
          </cell>
          <cell r="N526">
            <v>1</v>
          </cell>
          <cell r="P526">
            <v>1</v>
          </cell>
          <cell r="Q526">
            <v>1</v>
          </cell>
          <cell r="R526">
            <v>1</v>
          </cell>
          <cell r="S526">
            <v>1</v>
          </cell>
          <cell r="U526">
            <v>0.90774519230769235</v>
          </cell>
          <cell r="V526">
            <v>0.81697067307692317</v>
          </cell>
          <cell r="W526">
            <v>0.73527360576923084</v>
          </cell>
        </row>
        <row r="546">
          <cell r="A546" t="str">
            <v>WAD Average international tariff GPSI</v>
          </cell>
        </row>
        <row r="547">
          <cell r="B547">
            <v>36130</v>
          </cell>
          <cell r="C547">
            <v>36161</v>
          </cell>
          <cell r="D547">
            <v>36192</v>
          </cell>
          <cell r="E547">
            <v>36220</v>
          </cell>
          <cell r="F547">
            <v>36251</v>
          </cell>
          <cell r="G547">
            <v>36281</v>
          </cell>
          <cell r="H547">
            <v>36312</v>
          </cell>
          <cell r="I547">
            <v>36342</v>
          </cell>
          <cell r="J547">
            <v>36373</v>
          </cell>
          <cell r="K547">
            <v>36404</v>
          </cell>
          <cell r="L547">
            <v>36434</v>
          </cell>
          <cell r="M547">
            <v>36465</v>
          </cell>
          <cell r="N547">
            <v>36495</v>
          </cell>
          <cell r="O547" t="str">
            <v>Total 99</v>
          </cell>
          <cell r="P547" t="str">
            <v>Q1-2000</v>
          </cell>
          <cell r="Q547" t="str">
            <v>Q2-2000</v>
          </cell>
          <cell r="R547" t="str">
            <v>Q3-2000</v>
          </cell>
          <cell r="S547" t="str">
            <v>Q4-2000</v>
          </cell>
          <cell r="T547" t="str">
            <v>Total 2000</v>
          </cell>
          <cell r="U547">
            <v>2001</v>
          </cell>
          <cell r="V547">
            <v>2002</v>
          </cell>
          <cell r="W547">
            <v>2003</v>
          </cell>
        </row>
        <row r="548">
          <cell r="A548" t="str">
            <v>Ark</v>
          </cell>
          <cell r="B548">
            <v>0.17</v>
          </cell>
          <cell r="C548">
            <v>0.17</v>
          </cell>
          <cell r="D548">
            <v>0.17</v>
          </cell>
          <cell r="E548">
            <v>0.17</v>
          </cell>
          <cell r="F548">
            <v>0.17</v>
          </cell>
          <cell r="G548">
            <v>0.17</v>
          </cell>
          <cell r="H548">
            <v>0.17</v>
          </cell>
          <cell r="I548">
            <v>0.1666</v>
          </cell>
          <cell r="J548">
            <v>0.1666</v>
          </cell>
          <cell r="K548">
            <v>0.1666</v>
          </cell>
          <cell r="L548">
            <v>0.1666</v>
          </cell>
          <cell r="M548">
            <v>0.1666</v>
          </cell>
          <cell r="N548">
            <v>0.1666</v>
          </cell>
          <cell r="P548">
            <v>0.1666</v>
          </cell>
          <cell r="Q548">
            <v>0.1666</v>
          </cell>
          <cell r="R548">
            <v>0.1666</v>
          </cell>
          <cell r="S548">
            <v>0.1666</v>
          </cell>
          <cell r="U548">
            <v>0.15826999999999999</v>
          </cell>
          <cell r="V548">
            <v>0.15035649999999998</v>
          </cell>
          <cell r="W548">
            <v>0.14283867499999997</v>
          </cell>
        </row>
        <row r="549">
          <cell r="A549" t="str">
            <v>Eka</v>
          </cell>
          <cell r="B549">
            <v>0.17</v>
          </cell>
          <cell r="C549">
            <v>0.17</v>
          </cell>
          <cell r="D549">
            <v>0.17</v>
          </cell>
          <cell r="E549">
            <v>0.17</v>
          </cell>
          <cell r="F549">
            <v>0.17</v>
          </cell>
          <cell r="G549">
            <v>0.17</v>
          </cell>
          <cell r="H549">
            <v>0.17</v>
          </cell>
          <cell r="I549">
            <v>0.1666</v>
          </cell>
          <cell r="J549">
            <v>0.1666</v>
          </cell>
          <cell r="K549">
            <v>0.1666</v>
          </cell>
          <cell r="L549">
            <v>0.1666</v>
          </cell>
          <cell r="M549">
            <v>0.1666</v>
          </cell>
          <cell r="N549">
            <v>0.1666</v>
          </cell>
          <cell r="P549">
            <v>0.1666</v>
          </cell>
          <cell r="Q549">
            <v>0.1666</v>
          </cell>
          <cell r="R549">
            <v>0.1666</v>
          </cell>
          <cell r="S549">
            <v>0.1666</v>
          </cell>
          <cell r="U549">
            <v>0.15826999999999999</v>
          </cell>
          <cell r="V549">
            <v>0.15035649999999998</v>
          </cell>
          <cell r="W549">
            <v>0.14283867499999997</v>
          </cell>
        </row>
        <row r="550">
          <cell r="A550" t="str">
            <v>Irk</v>
          </cell>
          <cell r="B550">
            <v>0.17</v>
          </cell>
          <cell r="C550">
            <v>0.17</v>
          </cell>
          <cell r="D550">
            <v>0.17</v>
          </cell>
          <cell r="E550">
            <v>0.17</v>
          </cell>
          <cell r="F550">
            <v>0.17</v>
          </cell>
          <cell r="G550">
            <v>0.17</v>
          </cell>
          <cell r="H550">
            <v>0.17</v>
          </cell>
          <cell r="I550">
            <v>0.1666</v>
          </cell>
          <cell r="J550">
            <v>0.1666</v>
          </cell>
          <cell r="K550">
            <v>0.1666</v>
          </cell>
          <cell r="L550">
            <v>0.1666</v>
          </cell>
          <cell r="M550">
            <v>0.1666</v>
          </cell>
          <cell r="N550">
            <v>0.1666</v>
          </cell>
          <cell r="P550">
            <v>0.1666</v>
          </cell>
          <cell r="Q550">
            <v>0.1666</v>
          </cell>
          <cell r="R550">
            <v>0.1666</v>
          </cell>
          <cell r="S550">
            <v>0.1666</v>
          </cell>
          <cell r="U550">
            <v>0.15826999999999999</v>
          </cell>
          <cell r="V550">
            <v>0.15035649999999998</v>
          </cell>
          <cell r="W550">
            <v>0.14283867499999997</v>
          </cell>
        </row>
        <row r="551">
          <cell r="A551" t="str">
            <v>Kha</v>
          </cell>
          <cell r="B551">
            <v>0.18</v>
          </cell>
          <cell r="C551">
            <v>0.18</v>
          </cell>
          <cell r="D551">
            <v>0.18</v>
          </cell>
          <cell r="E551">
            <v>0.18</v>
          </cell>
          <cell r="F551">
            <v>0.18</v>
          </cell>
          <cell r="G551">
            <v>0.18</v>
          </cell>
          <cell r="H551">
            <v>0.18</v>
          </cell>
          <cell r="I551">
            <v>0.1764</v>
          </cell>
          <cell r="J551">
            <v>0.1764</v>
          </cell>
          <cell r="K551">
            <v>0.1764</v>
          </cell>
          <cell r="L551">
            <v>0.1764</v>
          </cell>
          <cell r="M551">
            <v>0.1764</v>
          </cell>
          <cell r="N551">
            <v>0.1764</v>
          </cell>
          <cell r="P551">
            <v>0.1764</v>
          </cell>
          <cell r="Q551">
            <v>0.1764</v>
          </cell>
          <cell r="R551">
            <v>0.1764</v>
          </cell>
          <cell r="S551">
            <v>0.1764</v>
          </cell>
          <cell r="U551">
            <v>0.16758000000000001</v>
          </cell>
          <cell r="V551">
            <v>0.15920100000000001</v>
          </cell>
          <cell r="W551">
            <v>0.15124095000000001</v>
          </cell>
        </row>
        <row r="552">
          <cell r="A552" t="str">
            <v>Kra</v>
          </cell>
          <cell r="B552">
            <v>0.12</v>
          </cell>
          <cell r="C552">
            <v>0.12</v>
          </cell>
          <cell r="D552">
            <v>0.12</v>
          </cell>
          <cell r="E552">
            <v>0.12</v>
          </cell>
          <cell r="F552">
            <v>0.12</v>
          </cell>
          <cell r="G552">
            <v>0.12</v>
          </cell>
          <cell r="H552">
            <v>0.12</v>
          </cell>
          <cell r="I552">
            <v>0.1176</v>
          </cell>
          <cell r="J552">
            <v>0.1176</v>
          </cell>
          <cell r="K552">
            <v>0.1176</v>
          </cell>
          <cell r="L552">
            <v>0.1176</v>
          </cell>
          <cell r="M552">
            <v>0.1176</v>
          </cell>
          <cell r="N552">
            <v>0.1176</v>
          </cell>
          <cell r="P552">
            <v>0.1176</v>
          </cell>
          <cell r="Q552">
            <v>0.1176</v>
          </cell>
          <cell r="R552">
            <v>0.1176</v>
          </cell>
          <cell r="S552">
            <v>0.1176</v>
          </cell>
          <cell r="U552">
            <v>0.11171999999999999</v>
          </cell>
          <cell r="V552">
            <v>0.10613399999999998</v>
          </cell>
          <cell r="W552">
            <v>0.10082729999999998</v>
          </cell>
        </row>
        <row r="553">
          <cell r="A553" t="str">
            <v>Niz</v>
          </cell>
          <cell r="B553">
            <v>0.17</v>
          </cell>
          <cell r="C553">
            <v>0.17</v>
          </cell>
          <cell r="D553">
            <v>0.17</v>
          </cell>
          <cell r="E553">
            <v>0.17</v>
          </cell>
          <cell r="F553">
            <v>0.17</v>
          </cell>
          <cell r="G553">
            <v>0.17</v>
          </cell>
          <cell r="H553">
            <v>0.17</v>
          </cell>
          <cell r="I553">
            <v>0.1666</v>
          </cell>
          <cell r="J553">
            <v>0.1666</v>
          </cell>
          <cell r="K553">
            <v>0.1666</v>
          </cell>
          <cell r="L553">
            <v>0.1666</v>
          </cell>
          <cell r="M553">
            <v>0.1666</v>
          </cell>
          <cell r="N553">
            <v>0.1666</v>
          </cell>
          <cell r="P553">
            <v>0.1666</v>
          </cell>
          <cell r="Q553">
            <v>0.1666</v>
          </cell>
          <cell r="R553">
            <v>0.1666</v>
          </cell>
          <cell r="S553">
            <v>0.1666</v>
          </cell>
          <cell r="U553">
            <v>0.15826999999999999</v>
          </cell>
          <cell r="V553">
            <v>0.15035649999999998</v>
          </cell>
          <cell r="W553">
            <v>0.14283867499999997</v>
          </cell>
        </row>
        <row r="554">
          <cell r="A554" t="str">
            <v>Nov</v>
          </cell>
          <cell r="B554">
            <v>0.15</v>
          </cell>
          <cell r="C554">
            <v>0.15</v>
          </cell>
          <cell r="D554">
            <v>0.15</v>
          </cell>
          <cell r="E554">
            <v>0.15</v>
          </cell>
          <cell r="F554">
            <v>0.15</v>
          </cell>
          <cell r="G554">
            <v>0.15</v>
          </cell>
          <cell r="H554">
            <v>0.15</v>
          </cell>
          <cell r="I554">
            <v>0.14699999999999999</v>
          </cell>
          <cell r="J554">
            <v>0.14699999999999999</v>
          </cell>
          <cell r="K554">
            <v>0.14699999999999999</v>
          </cell>
          <cell r="L554">
            <v>0.14699999999999999</v>
          </cell>
          <cell r="M554">
            <v>0.14699999999999999</v>
          </cell>
          <cell r="N554">
            <v>0.14699999999999999</v>
          </cell>
          <cell r="P554">
            <v>0.14699999999999999</v>
          </cell>
          <cell r="Q554">
            <v>0.14699999999999999</v>
          </cell>
          <cell r="R554">
            <v>0.14699999999999999</v>
          </cell>
          <cell r="S554">
            <v>0.14699999999999999</v>
          </cell>
          <cell r="U554">
            <v>0.13965</v>
          </cell>
          <cell r="V554">
            <v>0.13266749999999999</v>
          </cell>
          <cell r="W554">
            <v>0.126034125</v>
          </cell>
        </row>
        <row r="555">
          <cell r="A555" t="str">
            <v>Syk</v>
          </cell>
          <cell r="B555">
            <v>0.27</v>
          </cell>
          <cell r="C555">
            <v>0.27</v>
          </cell>
          <cell r="D555">
            <v>0.27</v>
          </cell>
          <cell r="E555">
            <v>0.27</v>
          </cell>
          <cell r="F555">
            <v>0.27</v>
          </cell>
          <cell r="G555">
            <v>0.27</v>
          </cell>
          <cell r="H555">
            <v>0.27</v>
          </cell>
          <cell r="I555">
            <v>0.2646</v>
          </cell>
          <cell r="J555">
            <v>0.2646</v>
          </cell>
          <cell r="K555">
            <v>0.2646</v>
          </cell>
          <cell r="L555">
            <v>0.2646</v>
          </cell>
          <cell r="M555">
            <v>0.2646</v>
          </cell>
          <cell r="N555">
            <v>0.2646</v>
          </cell>
          <cell r="P555">
            <v>0.2646</v>
          </cell>
          <cell r="Q555">
            <v>0.2646</v>
          </cell>
          <cell r="R555">
            <v>0.2646</v>
          </cell>
          <cell r="S555">
            <v>0.2646</v>
          </cell>
          <cell r="U555">
            <v>0.25136999999999998</v>
          </cell>
          <cell r="V555">
            <v>0.23880149999999997</v>
          </cell>
          <cell r="W555">
            <v>0.22686142499999995</v>
          </cell>
        </row>
        <row r="556">
          <cell r="A556" t="str">
            <v>Tyu</v>
          </cell>
          <cell r="B556">
            <v>0.17</v>
          </cell>
          <cell r="C556">
            <v>0.17</v>
          </cell>
          <cell r="D556">
            <v>0.17</v>
          </cell>
          <cell r="E556">
            <v>0.17</v>
          </cell>
          <cell r="F556">
            <v>0.17</v>
          </cell>
          <cell r="G556">
            <v>0.17</v>
          </cell>
          <cell r="H556">
            <v>0.17</v>
          </cell>
          <cell r="I556">
            <v>0.1666</v>
          </cell>
          <cell r="J556">
            <v>0.1666</v>
          </cell>
          <cell r="K556">
            <v>0.1666</v>
          </cell>
          <cell r="L556">
            <v>0.1666</v>
          </cell>
          <cell r="M556">
            <v>0.1666</v>
          </cell>
          <cell r="N556">
            <v>0.1666</v>
          </cell>
          <cell r="P556">
            <v>0.1666</v>
          </cell>
          <cell r="Q556">
            <v>0.1666</v>
          </cell>
          <cell r="R556">
            <v>0.1666</v>
          </cell>
          <cell r="S556">
            <v>0.1666</v>
          </cell>
          <cell r="U556">
            <v>0.15826999999999999</v>
          </cell>
          <cell r="V556">
            <v>0.15035649999999998</v>
          </cell>
          <cell r="W556">
            <v>0.14283867499999997</v>
          </cell>
        </row>
        <row r="557">
          <cell r="A557" t="str">
            <v>Ufa</v>
          </cell>
          <cell r="B557">
            <v>0.17</v>
          </cell>
          <cell r="C557">
            <v>0.17</v>
          </cell>
          <cell r="D557">
            <v>0.17</v>
          </cell>
          <cell r="E557">
            <v>0.17</v>
          </cell>
          <cell r="F557">
            <v>0.17</v>
          </cell>
          <cell r="G557">
            <v>0.17</v>
          </cell>
          <cell r="H557">
            <v>0.17</v>
          </cell>
          <cell r="I557">
            <v>0.1666</v>
          </cell>
          <cell r="J557">
            <v>0.1666</v>
          </cell>
          <cell r="K557">
            <v>0.1666</v>
          </cell>
          <cell r="L557">
            <v>0.1666</v>
          </cell>
          <cell r="M557">
            <v>0.1666</v>
          </cell>
          <cell r="N557">
            <v>0.1666</v>
          </cell>
          <cell r="P557">
            <v>0.1666</v>
          </cell>
          <cell r="Q557">
            <v>0.1666</v>
          </cell>
          <cell r="R557">
            <v>0.1666</v>
          </cell>
          <cell r="S557">
            <v>0.1666</v>
          </cell>
          <cell r="U557">
            <v>0.15826999999999999</v>
          </cell>
          <cell r="V557">
            <v>0.15035649999999998</v>
          </cell>
          <cell r="W557">
            <v>0.14283867499999997</v>
          </cell>
        </row>
        <row r="558">
          <cell r="A558" t="str">
            <v>Vla</v>
          </cell>
          <cell r="B558">
            <v>0.17</v>
          </cell>
          <cell r="C558">
            <v>0.17</v>
          </cell>
          <cell r="D558">
            <v>0.17</v>
          </cell>
          <cell r="E558">
            <v>0.17</v>
          </cell>
          <cell r="F558">
            <v>0.17</v>
          </cell>
          <cell r="G558">
            <v>0.17</v>
          </cell>
          <cell r="H558">
            <v>0.17</v>
          </cell>
          <cell r="I558">
            <v>0.1666</v>
          </cell>
          <cell r="J558">
            <v>0.1666</v>
          </cell>
          <cell r="K558">
            <v>0.1666</v>
          </cell>
          <cell r="L558">
            <v>0.1666</v>
          </cell>
          <cell r="M558">
            <v>0.1666</v>
          </cell>
          <cell r="N558">
            <v>0.1666</v>
          </cell>
          <cell r="P558">
            <v>0.1666</v>
          </cell>
          <cell r="Q558">
            <v>0.1666</v>
          </cell>
          <cell r="R558">
            <v>0.1666</v>
          </cell>
          <cell r="S558">
            <v>0.1666</v>
          </cell>
          <cell r="U558">
            <v>0.15826999999999999</v>
          </cell>
          <cell r="V558">
            <v>0.15035649999999998</v>
          </cell>
          <cell r="W558">
            <v>0.14283867499999997</v>
          </cell>
        </row>
        <row r="559">
          <cell r="A559" t="str">
            <v>Vol</v>
          </cell>
          <cell r="B559">
            <v>0.17</v>
          </cell>
          <cell r="C559">
            <v>0.17</v>
          </cell>
          <cell r="D559">
            <v>0.17</v>
          </cell>
          <cell r="E559">
            <v>0.17</v>
          </cell>
          <cell r="F559">
            <v>0.17</v>
          </cell>
          <cell r="G559">
            <v>0.17</v>
          </cell>
          <cell r="H559">
            <v>0.17</v>
          </cell>
          <cell r="I559">
            <v>0.1666</v>
          </cell>
          <cell r="J559">
            <v>0.1666</v>
          </cell>
          <cell r="K559">
            <v>0.1666</v>
          </cell>
          <cell r="L559">
            <v>0.1666</v>
          </cell>
          <cell r="M559">
            <v>0.1666</v>
          </cell>
          <cell r="N559">
            <v>0.1666</v>
          </cell>
          <cell r="P559">
            <v>0.1666</v>
          </cell>
          <cell r="Q559">
            <v>0.1666</v>
          </cell>
          <cell r="R559">
            <v>0.1666</v>
          </cell>
          <cell r="S559">
            <v>0.1666</v>
          </cell>
          <cell r="U559">
            <v>0.15826999999999999</v>
          </cell>
          <cell r="V559">
            <v>0.15035649999999998</v>
          </cell>
          <cell r="W559">
            <v>0.14283867499999997</v>
          </cell>
        </row>
        <row r="560">
          <cell r="A560" t="str">
            <v>Vor</v>
          </cell>
          <cell r="B560">
            <v>0.17</v>
          </cell>
          <cell r="C560">
            <v>0.17</v>
          </cell>
          <cell r="D560">
            <v>0.17</v>
          </cell>
          <cell r="E560">
            <v>0.17</v>
          </cell>
          <cell r="F560">
            <v>0.17</v>
          </cell>
          <cell r="G560">
            <v>0.17</v>
          </cell>
          <cell r="H560">
            <v>0.17</v>
          </cell>
          <cell r="I560">
            <v>0.1666</v>
          </cell>
          <cell r="J560">
            <v>0.1666</v>
          </cell>
          <cell r="K560">
            <v>0.1666</v>
          </cell>
          <cell r="L560">
            <v>0.1666</v>
          </cell>
          <cell r="M560">
            <v>0.1666</v>
          </cell>
          <cell r="N560">
            <v>0.1666</v>
          </cell>
          <cell r="P560">
            <v>0.1666</v>
          </cell>
          <cell r="Q560">
            <v>0.1666</v>
          </cell>
          <cell r="R560">
            <v>0.1666</v>
          </cell>
          <cell r="S560">
            <v>0.1666</v>
          </cell>
          <cell r="U560">
            <v>0.15826999999999999</v>
          </cell>
          <cell r="V560">
            <v>0.15035649999999998</v>
          </cell>
          <cell r="W560">
            <v>0.14283867499999997</v>
          </cell>
        </row>
        <row r="561">
          <cell r="A561" t="str">
            <v>Sam</v>
          </cell>
          <cell r="B561">
            <v>0.17</v>
          </cell>
          <cell r="C561">
            <v>0.17</v>
          </cell>
          <cell r="D561">
            <v>0.17</v>
          </cell>
          <cell r="E561">
            <v>0.17</v>
          </cell>
          <cell r="F561">
            <v>0.17</v>
          </cell>
          <cell r="G561">
            <v>0.17</v>
          </cell>
          <cell r="H561">
            <v>0.17</v>
          </cell>
          <cell r="I561">
            <v>0.1666</v>
          </cell>
          <cell r="J561">
            <v>0.1666</v>
          </cell>
          <cell r="K561">
            <v>0.1666</v>
          </cell>
          <cell r="L561">
            <v>0.1666</v>
          </cell>
          <cell r="M561">
            <v>0.1666</v>
          </cell>
          <cell r="N561">
            <v>0.1666</v>
          </cell>
          <cell r="P561">
            <v>0.1666</v>
          </cell>
          <cell r="Q561">
            <v>0.1666</v>
          </cell>
          <cell r="R561">
            <v>0.1666</v>
          </cell>
          <cell r="S561">
            <v>0.1666</v>
          </cell>
          <cell r="U561">
            <v>0.15826999999999999</v>
          </cell>
          <cell r="V561">
            <v>0.15035649999999998</v>
          </cell>
          <cell r="W561">
            <v>0.14283867499999997</v>
          </cell>
        </row>
        <row r="562">
          <cell r="A562" t="str">
            <v>Con</v>
          </cell>
          <cell r="B562">
            <v>1.82</v>
          </cell>
          <cell r="C562">
            <v>1.82</v>
          </cell>
          <cell r="D562">
            <v>1.82</v>
          </cell>
          <cell r="E562">
            <v>1.82</v>
          </cell>
          <cell r="F562">
            <v>1.82</v>
          </cell>
          <cell r="G562">
            <v>1.82</v>
          </cell>
          <cell r="H562">
            <v>1.82</v>
          </cell>
          <cell r="I562">
            <v>1.7289999999999999</v>
          </cell>
          <cell r="J562">
            <v>1.7289999999999999</v>
          </cell>
          <cell r="K562">
            <v>1.7289999999999999</v>
          </cell>
          <cell r="L562">
            <v>1.7289999999999999</v>
          </cell>
          <cell r="M562">
            <v>1.7289999999999999</v>
          </cell>
          <cell r="N562">
            <v>1.7289999999999999</v>
          </cell>
          <cell r="P562">
            <v>1.5560999999999998</v>
          </cell>
          <cell r="Q562">
            <v>1.5560999999999998</v>
          </cell>
          <cell r="R562">
            <v>1.5560999999999998</v>
          </cell>
          <cell r="S562">
            <v>1.5560999999999998</v>
          </cell>
          <cell r="U562">
            <v>1.4782949999999997</v>
          </cell>
          <cell r="V562">
            <v>1.4043802499999996</v>
          </cell>
          <cell r="W562">
            <v>1.3341612374999996</v>
          </cell>
        </row>
        <row r="583">
          <cell r="A583" t="str">
            <v>DPP Installation fee GPSI</v>
          </cell>
        </row>
        <row r="584">
          <cell r="B584">
            <v>36130</v>
          </cell>
          <cell r="C584">
            <v>36161</v>
          </cell>
          <cell r="D584">
            <v>36192</v>
          </cell>
          <cell r="E584">
            <v>36220</v>
          </cell>
          <cell r="F584">
            <v>36251</v>
          </cell>
          <cell r="G584">
            <v>36281</v>
          </cell>
          <cell r="H584">
            <v>36312</v>
          </cell>
          <cell r="I584">
            <v>36342</v>
          </cell>
          <cell r="J584">
            <v>36373</v>
          </cell>
          <cell r="K584">
            <v>36404</v>
          </cell>
          <cell r="L584">
            <v>36434</v>
          </cell>
          <cell r="M584">
            <v>36465</v>
          </cell>
          <cell r="N584">
            <v>36495</v>
          </cell>
          <cell r="O584" t="str">
            <v>Total 99</v>
          </cell>
          <cell r="P584" t="str">
            <v>Q1-2000</v>
          </cell>
          <cell r="Q584" t="str">
            <v>Q2-2000</v>
          </cell>
          <cell r="R584" t="str">
            <v>Q3-2000</v>
          </cell>
          <cell r="S584" t="str">
            <v>Q4-2000</v>
          </cell>
          <cell r="T584" t="str">
            <v>Total 2000</v>
          </cell>
          <cell r="U584">
            <v>2001</v>
          </cell>
          <cell r="V584">
            <v>2002</v>
          </cell>
          <cell r="W584">
            <v>2003</v>
          </cell>
        </row>
        <row r="585">
          <cell r="A585" t="str">
            <v>Ark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 t="str">
            <v>Eka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 t="str">
            <v>Irk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 t="str">
            <v>Kha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 t="str">
            <v>Kra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 t="str">
            <v>Niz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 t="str">
            <v>Nov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 t="str">
            <v>Syk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 t="str">
            <v>Tyu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 t="str">
            <v>Ufa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 t="str">
            <v>Vla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 t="str">
            <v>Vol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 t="str">
            <v>Vor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 t="str">
            <v>Sam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</row>
        <row r="599">
          <cell r="A599" t="str">
            <v>Mos</v>
          </cell>
        </row>
        <row r="600">
          <cell r="A600" t="str">
            <v>Con</v>
          </cell>
          <cell r="C600">
            <v>3300</v>
          </cell>
          <cell r="D600">
            <v>3300</v>
          </cell>
          <cell r="E600">
            <v>3300</v>
          </cell>
          <cell r="F600">
            <v>3300</v>
          </cell>
          <cell r="G600">
            <v>3300</v>
          </cell>
          <cell r="H600">
            <v>3300</v>
          </cell>
          <cell r="I600">
            <v>3000</v>
          </cell>
          <cell r="J600">
            <v>3000</v>
          </cell>
          <cell r="K600">
            <v>3000</v>
          </cell>
          <cell r="L600">
            <v>3000</v>
          </cell>
          <cell r="M600">
            <v>3000</v>
          </cell>
          <cell r="N600">
            <v>3000</v>
          </cell>
          <cell r="P600">
            <v>2850</v>
          </cell>
          <cell r="Q600">
            <v>2850</v>
          </cell>
          <cell r="R600">
            <v>2850</v>
          </cell>
          <cell r="S600">
            <v>2850</v>
          </cell>
          <cell r="U600">
            <v>2707.5</v>
          </cell>
          <cell r="V600">
            <v>2572.125</v>
          </cell>
          <cell r="W600">
            <v>2443.5187499999997</v>
          </cell>
        </row>
        <row r="602">
          <cell r="A602" t="str">
            <v>DPP Monthly fee GPSI</v>
          </cell>
        </row>
        <row r="603">
          <cell r="B603">
            <v>36130</v>
          </cell>
          <cell r="C603">
            <v>36161</v>
          </cell>
          <cell r="D603">
            <v>36192</v>
          </cell>
          <cell r="E603">
            <v>36220</v>
          </cell>
          <cell r="F603">
            <v>36251</v>
          </cell>
          <cell r="G603">
            <v>36281</v>
          </cell>
          <cell r="H603">
            <v>36312</v>
          </cell>
          <cell r="I603">
            <v>36342</v>
          </cell>
          <cell r="J603">
            <v>36373</v>
          </cell>
          <cell r="K603">
            <v>36404</v>
          </cell>
          <cell r="L603">
            <v>36434</v>
          </cell>
          <cell r="M603">
            <v>36465</v>
          </cell>
          <cell r="N603">
            <v>36495</v>
          </cell>
          <cell r="O603" t="str">
            <v>Total 99</v>
          </cell>
          <cell r="P603" t="str">
            <v>Q1-2000</v>
          </cell>
          <cell r="Q603" t="str">
            <v>Q2-2000</v>
          </cell>
          <cell r="R603" t="str">
            <v>Q3-2000</v>
          </cell>
          <cell r="S603" t="str">
            <v>Q4-2000</v>
          </cell>
          <cell r="T603" t="str">
            <v>Total 2000</v>
          </cell>
          <cell r="U603">
            <v>2001</v>
          </cell>
          <cell r="V603">
            <v>2002</v>
          </cell>
          <cell r="W603">
            <v>2003</v>
          </cell>
        </row>
        <row r="604">
          <cell r="A604" t="str">
            <v>Ark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A605" t="str">
            <v>Eka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 t="str">
            <v>Irk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 t="str">
            <v>Kha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 t="str">
            <v>Kra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 t="str">
            <v>Niz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 t="str">
            <v>Nov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 t="str">
            <v>Syk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 t="str">
            <v>Tyu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 t="str">
            <v>Ufa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 t="str">
            <v>Vla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 t="str">
            <v>Vol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 t="str">
            <v>Vor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 t="str">
            <v>Sam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 t="str">
            <v>Mos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 t="str">
            <v>Con</v>
          </cell>
          <cell r="B619">
            <v>2900</v>
          </cell>
          <cell r="C619">
            <v>2900</v>
          </cell>
          <cell r="D619">
            <v>2900</v>
          </cell>
          <cell r="E619">
            <v>2900</v>
          </cell>
          <cell r="F619">
            <v>2900</v>
          </cell>
          <cell r="G619">
            <v>2900</v>
          </cell>
          <cell r="H619">
            <v>2900</v>
          </cell>
          <cell r="I619">
            <v>2800</v>
          </cell>
          <cell r="J619">
            <v>2800</v>
          </cell>
          <cell r="K619">
            <v>2800</v>
          </cell>
          <cell r="L619">
            <v>2800</v>
          </cell>
          <cell r="M619">
            <v>2800</v>
          </cell>
          <cell r="N619">
            <v>2800</v>
          </cell>
          <cell r="P619">
            <v>2660</v>
          </cell>
          <cell r="Q619">
            <v>2660</v>
          </cell>
          <cell r="R619">
            <v>2660</v>
          </cell>
          <cell r="S619">
            <v>2660</v>
          </cell>
          <cell r="U619">
            <v>2527</v>
          </cell>
          <cell r="V619">
            <v>2400.65</v>
          </cell>
          <cell r="W619">
            <v>2280.6174999999998</v>
          </cell>
        </row>
        <row r="639">
          <cell r="A639" t="str">
            <v>2-Wire Line one-time GPSI</v>
          </cell>
        </row>
        <row r="640">
          <cell r="B640">
            <v>36130</v>
          </cell>
          <cell r="C640">
            <v>36161</v>
          </cell>
          <cell r="D640">
            <v>36192</v>
          </cell>
          <cell r="E640">
            <v>36220</v>
          </cell>
          <cell r="F640">
            <v>36251</v>
          </cell>
          <cell r="G640">
            <v>36281</v>
          </cell>
          <cell r="H640">
            <v>36312</v>
          </cell>
          <cell r="I640">
            <v>36342</v>
          </cell>
          <cell r="J640">
            <v>36373</v>
          </cell>
          <cell r="K640">
            <v>36404</v>
          </cell>
          <cell r="L640">
            <v>36434</v>
          </cell>
          <cell r="M640">
            <v>36465</v>
          </cell>
          <cell r="N640">
            <v>36495</v>
          </cell>
          <cell r="O640" t="str">
            <v>Total 99</v>
          </cell>
          <cell r="P640" t="str">
            <v>Q1-2000</v>
          </cell>
          <cell r="Q640" t="str">
            <v>Q2-2000</v>
          </cell>
          <cell r="R640" t="str">
            <v>Q3-2000</v>
          </cell>
          <cell r="S640" t="str">
            <v>Q4-2000</v>
          </cell>
          <cell r="T640" t="str">
            <v>Total 2000</v>
          </cell>
          <cell r="U640">
            <v>2001</v>
          </cell>
          <cell r="V640">
            <v>2002</v>
          </cell>
          <cell r="W640">
            <v>2003</v>
          </cell>
        </row>
        <row r="641">
          <cell r="A641" t="str">
            <v>Ark</v>
          </cell>
          <cell r="B641">
            <v>200</v>
          </cell>
          <cell r="C641">
            <v>200</v>
          </cell>
          <cell r="D641">
            <v>200</v>
          </cell>
          <cell r="E641">
            <v>200</v>
          </cell>
          <cell r="F641">
            <v>200</v>
          </cell>
          <cell r="G641">
            <v>200</v>
          </cell>
          <cell r="H641">
            <v>200</v>
          </cell>
          <cell r="I641">
            <v>200</v>
          </cell>
          <cell r="J641">
            <v>200</v>
          </cell>
          <cell r="K641">
            <v>200</v>
          </cell>
          <cell r="L641">
            <v>200</v>
          </cell>
          <cell r="M641">
            <v>200</v>
          </cell>
          <cell r="N641">
            <v>200</v>
          </cell>
          <cell r="O641">
            <v>400</v>
          </cell>
          <cell r="P641">
            <v>200</v>
          </cell>
          <cell r="Q641">
            <v>200</v>
          </cell>
          <cell r="R641">
            <v>200</v>
          </cell>
          <cell r="S641">
            <v>200</v>
          </cell>
          <cell r="T641">
            <v>400</v>
          </cell>
          <cell r="U641">
            <v>200</v>
          </cell>
          <cell r="V641">
            <v>200</v>
          </cell>
          <cell r="W641">
            <v>200</v>
          </cell>
        </row>
        <row r="642">
          <cell r="A642" t="str">
            <v>Eka</v>
          </cell>
          <cell r="B642">
            <v>325</v>
          </cell>
          <cell r="C642">
            <v>325</v>
          </cell>
          <cell r="D642">
            <v>325</v>
          </cell>
          <cell r="E642">
            <v>325</v>
          </cell>
          <cell r="F642">
            <v>325</v>
          </cell>
          <cell r="G642">
            <v>325</v>
          </cell>
          <cell r="H642">
            <v>325</v>
          </cell>
          <cell r="I642">
            <v>325</v>
          </cell>
          <cell r="J642">
            <v>325</v>
          </cell>
          <cell r="K642">
            <v>325</v>
          </cell>
          <cell r="L642">
            <v>325</v>
          </cell>
          <cell r="M642">
            <v>325</v>
          </cell>
          <cell r="N642">
            <v>325</v>
          </cell>
          <cell r="O642">
            <v>600</v>
          </cell>
          <cell r="P642">
            <v>325</v>
          </cell>
          <cell r="Q642">
            <v>325</v>
          </cell>
          <cell r="R642">
            <v>325</v>
          </cell>
          <cell r="S642">
            <v>325</v>
          </cell>
          <cell r="T642">
            <v>600</v>
          </cell>
          <cell r="U642">
            <v>325</v>
          </cell>
          <cell r="V642">
            <v>325</v>
          </cell>
          <cell r="W642">
            <v>325</v>
          </cell>
        </row>
        <row r="643">
          <cell r="A643" t="str">
            <v>Irk</v>
          </cell>
          <cell r="B643">
            <v>375</v>
          </cell>
          <cell r="C643">
            <v>375</v>
          </cell>
          <cell r="D643">
            <v>375</v>
          </cell>
          <cell r="E643">
            <v>375</v>
          </cell>
          <cell r="F643">
            <v>375</v>
          </cell>
          <cell r="G643">
            <v>375</v>
          </cell>
          <cell r="H643">
            <v>375</v>
          </cell>
          <cell r="I643">
            <v>375</v>
          </cell>
          <cell r="J643">
            <v>375</v>
          </cell>
          <cell r="K643">
            <v>375</v>
          </cell>
          <cell r="L643">
            <v>375</v>
          </cell>
          <cell r="M643">
            <v>375</v>
          </cell>
          <cell r="N643">
            <v>375</v>
          </cell>
          <cell r="O643">
            <v>600</v>
          </cell>
          <cell r="P643">
            <v>375</v>
          </cell>
          <cell r="Q643">
            <v>375</v>
          </cell>
          <cell r="R643">
            <v>375</v>
          </cell>
          <cell r="S643">
            <v>375</v>
          </cell>
          <cell r="T643">
            <v>600</v>
          </cell>
          <cell r="U643">
            <v>375</v>
          </cell>
          <cell r="V643">
            <v>375</v>
          </cell>
          <cell r="W643">
            <v>375</v>
          </cell>
        </row>
        <row r="644">
          <cell r="A644" t="str">
            <v>Kha</v>
          </cell>
          <cell r="B644">
            <v>700</v>
          </cell>
          <cell r="C644">
            <v>700</v>
          </cell>
          <cell r="D644">
            <v>700</v>
          </cell>
          <cell r="E644">
            <v>700</v>
          </cell>
          <cell r="F644">
            <v>700</v>
          </cell>
          <cell r="G644">
            <v>700</v>
          </cell>
          <cell r="H644">
            <v>700</v>
          </cell>
          <cell r="I644">
            <v>700</v>
          </cell>
          <cell r="J644">
            <v>700</v>
          </cell>
          <cell r="K644">
            <v>700</v>
          </cell>
          <cell r="L644">
            <v>700</v>
          </cell>
          <cell r="M644">
            <v>700</v>
          </cell>
          <cell r="N644">
            <v>700</v>
          </cell>
          <cell r="O644">
            <v>1490</v>
          </cell>
          <cell r="P644">
            <v>700</v>
          </cell>
          <cell r="Q644">
            <v>700</v>
          </cell>
          <cell r="R644">
            <v>700</v>
          </cell>
          <cell r="S644">
            <v>700</v>
          </cell>
          <cell r="T644">
            <v>1490</v>
          </cell>
          <cell r="U644">
            <v>700</v>
          </cell>
          <cell r="V644">
            <v>700</v>
          </cell>
          <cell r="W644">
            <v>700</v>
          </cell>
        </row>
        <row r="645">
          <cell r="A645" t="str">
            <v>Kra</v>
          </cell>
          <cell r="B645">
            <v>120</v>
          </cell>
          <cell r="C645">
            <v>120</v>
          </cell>
          <cell r="D645">
            <v>120</v>
          </cell>
          <cell r="E645">
            <v>120</v>
          </cell>
          <cell r="F645">
            <v>120</v>
          </cell>
          <cell r="G645">
            <v>120</v>
          </cell>
          <cell r="H645">
            <v>120</v>
          </cell>
          <cell r="I645">
            <v>120</v>
          </cell>
          <cell r="J645">
            <v>120</v>
          </cell>
          <cell r="K645">
            <v>120</v>
          </cell>
          <cell r="L645">
            <v>120</v>
          </cell>
          <cell r="M645">
            <v>120</v>
          </cell>
          <cell r="N645">
            <v>120</v>
          </cell>
          <cell r="O645">
            <v>1000</v>
          </cell>
          <cell r="P645">
            <v>120</v>
          </cell>
          <cell r="Q645">
            <v>120</v>
          </cell>
          <cell r="R645">
            <v>120</v>
          </cell>
          <cell r="S645">
            <v>120</v>
          </cell>
          <cell r="T645">
            <v>1000</v>
          </cell>
          <cell r="U645">
            <v>120</v>
          </cell>
          <cell r="V645">
            <v>120</v>
          </cell>
          <cell r="W645">
            <v>120</v>
          </cell>
        </row>
        <row r="646">
          <cell r="A646" t="str">
            <v>Niz</v>
          </cell>
          <cell r="B646">
            <v>470</v>
          </cell>
          <cell r="C646">
            <v>470</v>
          </cell>
          <cell r="D646">
            <v>470</v>
          </cell>
          <cell r="E646">
            <v>470</v>
          </cell>
          <cell r="F646">
            <v>470</v>
          </cell>
          <cell r="G646">
            <v>470</v>
          </cell>
          <cell r="H646">
            <v>470</v>
          </cell>
          <cell r="I646">
            <v>470</v>
          </cell>
          <cell r="J646">
            <v>470</v>
          </cell>
          <cell r="K646">
            <v>470</v>
          </cell>
          <cell r="L646">
            <v>470</v>
          </cell>
          <cell r="M646">
            <v>470</v>
          </cell>
          <cell r="N646">
            <v>470</v>
          </cell>
          <cell r="O646">
            <v>1000</v>
          </cell>
          <cell r="P646">
            <v>470</v>
          </cell>
          <cell r="Q646">
            <v>470</v>
          </cell>
          <cell r="R646">
            <v>470</v>
          </cell>
          <cell r="S646">
            <v>470</v>
          </cell>
          <cell r="T646">
            <v>1000</v>
          </cell>
          <cell r="U646">
            <v>470</v>
          </cell>
          <cell r="V646">
            <v>470</v>
          </cell>
          <cell r="W646">
            <v>470</v>
          </cell>
        </row>
        <row r="647">
          <cell r="A647" t="str">
            <v>Nov</v>
          </cell>
          <cell r="B647">
            <v>600</v>
          </cell>
          <cell r="C647">
            <v>600</v>
          </cell>
          <cell r="D647">
            <v>600</v>
          </cell>
          <cell r="E647">
            <v>600</v>
          </cell>
          <cell r="F647">
            <v>600</v>
          </cell>
          <cell r="G647">
            <v>600</v>
          </cell>
          <cell r="H647">
            <v>600</v>
          </cell>
          <cell r="I647">
            <v>600</v>
          </cell>
          <cell r="J647">
            <v>600</v>
          </cell>
          <cell r="K647">
            <v>600</v>
          </cell>
          <cell r="L647">
            <v>600</v>
          </cell>
          <cell r="M647">
            <v>600</v>
          </cell>
          <cell r="N647">
            <v>600</v>
          </cell>
          <cell r="O647">
            <v>1300</v>
          </cell>
          <cell r="P647">
            <v>600</v>
          </cell>
          <cell r="Q647">
            <v>600</v>
          </cell>
          <cell r="R647">
            <v>600</v>
          </cell>
          <cell r="S647">
            <v>600</v>
          </cell>
          <cell r="T647">
            <v>1300</v>
          </cell>
          <cell r="U647">
            <v>600</v>
          </cell>
          <cell r="V647">
            <v>600</v>
          </cell>
          <cell r="W647">
            <v>600</v>
          </cell>
        </row>
        <row r="648">
          <cell r="A648" t="str">
            <v>Syk</v>
          </cell>
          <cell r="B648">
            <v>200</v>
          </cell>
          <cell r="C648">
            <v>200</v>
          </cell>
          <cell r="D648">
            <v>200</v>
          </cell>
          <cell r="E648">
            <v>200</v>
          </cell>
          <cell r="F648">
            <v>200</v>
          </cell>
          <cell r="G648">
            <v>200</v>
          </cell>
          <cell r="H648">
            <v>200</v>
          </cell>
          <cell r="I648">
            <v>200</v>
          </cell>
          <cell r="J648">
            <v>200</v>
          </cell>
          <cell r="K648">
            <v>200</v>
          </cell>
          <cell r="L648">
            <v>200</v>
          </cell>
          <cell r="M648">
            <v>200</v>
          </cell>
          <cell r="N648">
            <v>200</v>
          </cell>
          <cell r="O648">
            <v>1000</v>
          </cell>
          <cell r="P648">
            <v>200</v>
          </cell>
          <cell r="Q648">
            <v>200</v>
          </cell>
          <cell r="R648">
            <v>200</v>
          </cell>
          <cell r="S648">
            <v>200</v>
          </cell>
          <cell r="T648">
            <v>1000</v>
          </cell>
          <cell r="U648">
            <v>200</v>
          </cell>
          <cell r="V648">
            <v>200</v>
          </cell>
          <cell r="W648">
            <v>200</v>
          </cell>
        </row>
        <row r="649">
          <cell r="A649" t="str">
            <v>Tyu</v>
          </cell>
          <cell r="B649">
            <v>300</v>
          </cell>
          <cell r="C649">
            <v>300</v>
          </cell>
          <cell r="D649">
            <v>300</v>
          </cell>
          <cell r="E649">
            <v>300</v>
          </cell>
          <cell r="F649">
            <v>300</v>
          </cell>
          <cell r="G649">
            <v>300</v>
          </cell>
          <cell r="H649">
            <v>300</v>
          </cell>
          <cell r="I649">
            <v>300</v>
          </cell>
          <cell r="J649">
            <v>300</v>
          </cell>
          <cell r="K649">
            <v>300</v>
          </cell>
          <cell r="L649">
            <v>300</v>
          </cell>
          <cell r="M649">
            <v>300</v>
          </cell>
          <cell r="N649">
            <v>300</v>
          </cell>
          <cell r="O649">
            <v>1000</v>
          </cell>
          <cell r="P649">
            <v>300</v>
          </cell>
          <cell r="Q649">
            <v>300</v>
          </cell>
          <cell r="R649">
            <v>300</v>
          </cell>
          <cell r="S649">
            <v>300</v>
          </cell>
          <cell r="T649">
            <v>1000</v>
          </cell>
          <cell r="U649">
            <v>300</v>
          </cell>
          <cell r="V649">
            <v>300</v>
          </cell>
          <cell r="W649">
            <v>300</v>
          </cell>
        </row>
        <row r="650">
          <cell r="A650" t="str">
            <v>Ufa</v>
          </cell>
          <cell r="B650">
            <v>400</v>
          </cell>
          <cell r="C650">
            <v>400</v>
          </cell>
          <cell r="D650">
            <v>400</v>
          </cell>
          <cell r="E650">
            <v>400</v>
          </cell>
          <cell r="F650">
            <v>400</v>
          </cell>
          <cell r="G650">
            <v>400</v>
          </cell>
          <cell r="H650">
            <v>400</v>
          </cell>
          <cell r="I650">
            <v>400</v>
          </cell>
          <cell r="J650">
            <v>400</v>
          </cell>
          <cell r="K650">
            <v>400</v>
          </cell>
          <cell r="L650">
            <v>400</v>
          </cell>
          <cell r="M650">
            <v>400</v>
          </cell>
          <cell r="N650">
            <v>400</v>
          </cell>
          <cell r="O650">
            <v>1250</v>
          </cell>
          <cell r="P650">
            <v>400</v>
          </cell>
          <cell r="Q650">
            <v>400</v>
          </cell>
          <cell r="R650">
            <v>400</v>
          </cell>
          <cell r="S650">
            <v>400</v>
          </cell>
          <cell r="T650">
            <v>1250</v>
          </cell>
          <cell r="U650">
            <v>400</v>
          </cell>
          <cell r="V650">
            <v>400</v>
          </cell>
          <cell r="W650">
            <v>400</v>
          </cell>
        </row>
        <row r="651">
          <cell r="A651" t="str">
            <v>Vla</v>
          </cell>
          <cell r="B651">
            <v>600</v>
          </cell>
          <cell r="C651">
            <v>600</v>
          </cell>
          <cell r="D651">
            <v>600</v>
          </cell>
          <cell r="E651">
            <v>600</v>
          </cell>
          <cell r="F651">
            <v>600</v>
          </cell>
          <cell r="G651">
            <v>600</v>
          </cell>
          <cell r="H651">
            <v>600</v>
          </cell>
          <cell r="I651">
            <v>600</v>
          </cell>
          <cell r="J651">
            <v>600</v>
          </cell>
          <cell r="K651">
            <v>600</v>
          </cell>
          <cell r="L651">
            <v>600</v>
          </cell>
          <cell r="M651">
            <v>600</v>
          </cell>
          <cell r="N651">
            <v>600</v>
          </cell>
          <cell r="O651">
            <v>1250</v>
          </cell>
          <cell r="P651">
            <v>600</v>
          </cell>
          <cell r="Q651">
            <v>600</v>
          </cell>
          <cell r="R651">
            <v>600</v>
          </cell>
          <cell r="S651">
            <v>600</v>
          </cell>
          <cell r="T651">
            <v>1250</v>
          </cell>
          <cell r="U651">
            <v>600</v>
          </cell>
          <cell r="V651">
            <v>600</v>
          </cell>
          <cell r="W651">
            <v>600</v>
          </cell>
        </row>
        <row r="652">
          <cell r="A652" t="str">
            <v>Vol</v>
          </cell>
          <cell r="B652">
            <v>300</v>
          </cell>
          <cell r="C652">
            <v>300</v>
          </cell>
          <cell r="D652">
            <v>300</v>
          </cell>
          <cell r="E652">
            <v>300</v>
          </cell>
          <cell r="F652">
            <v>300</v>
          </cell>
          <cell r="G652">
            <v>300</v>
          </cell>
          <cell r="H652">
            <v>300</v>
          </cell>
          <cell r="I652">
            <v>300</v>
          </cell>
          <cell r="J652">
            <v>300</v>
          </cell>
          <cell r="K652">
            <v>300</v>
          </cell>
          <cell r="L652">
            <v>300</v>
          </cell>
          <cell r="M652">
            <v>300</v>
          </cell>
          <cell r="N652">
            <v>300</v>
          </cell>
          <cell r="O652">
            <v>1250</v>
          </cell>
          <cell r="P652">
            <v>300</v>
          </cell>
          <cell r="Q652">
            <v>300</v>
          </cell>
          <cell r="R652">
            <v>300</v>
          </cell>
          <cell r="S652">
            <v>300</v>
          </cell>
          <cell r="T652">
            <v>1250</v>
          </cell>
          <cell r="U652">
            <v>300</v>
          </cell>
          <cell r="V652">
            <v>300</v>
          </cell>
          <cell r="W652">
            <v>300</v>
          </cell>
        </row>
        <row r="653">
          <cell r="A653" t="str">
            <v>Vor</v>
          </cell>
          <cell r="B653">
            <v>270</v>
          </cell>
          <cell r="C653">
            <v>270</v>
          </cell>
          <cell r="D653">
            <v>270</v>
          </cell>
          <cell r="E653">
            <v>270</v>
          </cell>
          <cell r="F653">
            <v>270</v>
          </cell>
          <cell r="G653">
            <v>270</v>
          </cell>
          <cell r="H653">
            <v>270</v>
          </cell>
          <cell r="I653">
            <v>270</v>
          </cell>
          <cell r="J653">
            <v>270</v>
          </cell>
          <cell r="K653">
            <v>270</v>
          </cell>
          <cell r="L653">
            <v>270</v>
          </cell>
          <cell r="M653">
            <v>270</v>
          </cell>
          <cell r="N653">
            <v>270</v>
          </cell>
          <cell r="O653">
            <v>1000</v>
          </cell>
          <cell r="P653">
            <v>270</v>
          </cell>
          <cell r="Q653">
            <v>270</v>
          </cell>
          <cell r="R653">
            <v>270</v>
          </cell>
          <cell r="S653">
            <v>270</v>
          </cell>
          <cell r="T653">
            <v>1000</v>
          </cell>
          <cell r="U653">
            <v>270</v>
          </cell>
          <cell r="V653">
            <v>270</v>
          </cell>
          <cell r="W653">
            <v>270</v>
          </cell>
        </row>
        <row r="654">
          <cell r="A654" t="str">
            <v>Sam</v>
          </cell>
          <cell r="B654">
            <v>43</v>
          </cell>
          <cell r="C654">
            <v>43</v>
          </cell>
          <cell r="D654">
            <v>43</v>
          </cell>
          <cell r="E654">
            <v>43</v>
          </cell>
          <cell r="F654">
            <v>43</v>
          </cell>
          <cell r="G654">
            <v>43</v>
          </cell>
          <cell r="H654">
            <v>43</v>
          </cell>
          <cell r="I654">
            <v>43</v>
          </cell>
          <cell r="J654">
            <v>43</v>
          </cell>
          <cell r="K654">
            <v>43</v>
          </cell>
          <cell r="L654">
            <v>43</v>
          </cell>
          <cell r="M654">
            <v>43</v>
          </cell>
          <cell r="N654">
            <v>43</v>
          </cell>
          <cell r="P654">
            <v>43</v>
          </cell>
          <cell r="Q654">
            <v>43</v>
          </cell>
          <cell r="R654">
            <v>43</v>
          </cell>
          <cell r="S654">
            <v>43</v>
          </cell>
          <cell r="T654">
            <v>600</v>
          </cell>
          <cell r="U654">
            <v>43</v>
          </cell>
          <cell r="V654">
            <v>43</v>
          </cell>
          <cell r="W654">
            <v>43</v>
          </cell>
        </row>
        <row r="655">
          <cell r="A655" t="str">
            <v>Con</v>
          </cell>
          <cell r="B655">
            <v>1010.7692307692307</v>
          </cell>
          <cell r="C655">
            <v>1010.7692307692307</v>
          </cell>
          <cell r="D655">
            <v>1010.7692307692307</v>
          </cell>
          <cell r="E655">
            <v>1010.7692307692307</v>
          </cell>
          <cell r="F655">
            <v>1010.7692307692307</v>
          </cell>
          <cell r="G655">
            <v>1010.7692307692307</v>
          </cell>
          <cell r="H655">
            <v>1010.7692307692307</v>
          </cell>
          <cell r="I655">
            <v>1010.7692307692307</v>
          </cell>
          <cell r="J655">
            <v>1010.7692307692307</v>
          </cell>
          <cell r="K655">
            <v>1010.7692307692307</v>
          </cell>
          <cell r="L655">
            <v>1010.7692307692307</v>
          </cell>
          <cell r="M655">
            <v>1010.7692307692307</v>
          </cell>
          <cell r="N655">
            <v>1010.7692307692307</v>
          </cell>
          <cell r="O655">
            <v>1010.7692307692307</v>
          </cell>
          <cell r="P655">
            <v>1010.7692307692307</v>
          </cell>
          <cell r="Q655">
            <v>1010.7692307692307</v>
          </cell>
          <cell r="R655">
            <v>1010.7692307692307</v>
          </cell>
          <cell r="S655">
            <v>1010.7692307692307</v>
          </cell>
          <cell r="T655">
            <v>1010.7692307692307</v>
          </cell>
          <cell r="U655">
            <v>1010.7692307692307</v>
          </cell>
          <cell r="V655">
            <v>1010.7692307692307</v>
          </cell>
          <cell r="W655">
            <v>1010.7692307692307</v>
          </cell>
        </row>
        <row r="657">
          <cell r="A657" t="str">
            <v>2-Wire Line monthly GPSI</v>
          </cell>
        </row>
        <row r="658">
          <cell r="B658">
            <v>36130</v>
          </cell>
          <cell r="C658">
            <v>36161</v>
          </cell>
          <cell r="D658">
            <v>36192</v>
          </cell>
          <cell r="E658">
            <v>36220</v>
          </cell>
          <cell r="F658">
            <v>36251</v>
          </cell>
          <cell r="G658">
            <v>36281</v>
          </cell>
          <cell r="H658">
            <v>36312</v>
          </cell>
          <cell r="I658">
            <v>36342</v>
          </cell>
          <cell r="J658">
            <v>36373</v>
          </cell>
          <cell r="K658">
            <v>36404</v>
          </cell>
          <cell r="L658">
            <v>36434</v>
          </cell>
          <cell r="M658">
            <v>36465</v>
          </cell>
          <cell r="N658">
            <v>36495</v>
          </cell>
          <cell r="O658" t="str">
            <v>Total 99</v>
          </cell>
          <cell r="P658" t="str">
            <v>Q1-2000</v>
          </cell>
          <cell r="Q658" t="str">
            <v>Q2-2000</v>
          </cell>
          <cell r="R658" t="str">
            <v>Q3-2000</v>
          </cell>
          <cell r="S658" t="str">
            <v>Q4-2000</v>
          </cell>
          <cell r="T658" t="str">
            <v>Total 2000</v>
          </cell>
          <cell r="U658">
            <v>2001</v>
          </cell>
          <cell r="V658">
            <v>2002</v>
          </cell>
          <cell r="W658">
            <v>2003</v>
          </cell>
        </row>
        <row r="659">
          <cell r="A659" t="str">
            <v>Ark</v>
          </cell>
          <cell r="B659">
            <v>10</v>
          </cell>
          <cell r="C659">
            <v>10</v>
          </cell>
          <cell r="D659">
            <v>10</v>
          </cell>
          <cell r="E659">
            <v>10</v>
          </cell>
          <cell r="F659">
            <v>10</v>
          </cell>
          <cell r="G659">
            <v>10</v>
          </cell>
          <cell r="H659">
            <v>10</v>
          </cell>
          <cell r="I659">
            <v>10</v>
          </cell>
          <cell r="J659">
            <v>10</v>
          </cell>
          <cell r="K659">
            <v>10</v>
          </cell>
          <cell r="L659">
            <v>10</v>
          </cell>
          <cell r="M659">
            <v>10</v>
          </cell>
          <cell r="N659">
            <v>10</v>
          </cell>
          <cell r="O659">
            <v>20</v>
          </cell>
          <cell r="P659">
            <v>10</v>
          </cell>
          <cell r="Q659">
            <v>10</v>
          </cell>
          <cell r="R659">
            <v>10</v>
          </cell>
          <cell r="S659">
            <v>10</v>
          </cell>
          <cell r="T659">
            <v>20</v>
          </cell>
          <cell r="U659">
            <v>10</v>
          </cell>
          <cell r="V659">
            <v>10</v>
          </cell>
          <cell r="W659">
            <v>10</v>
          </cell>
        </row>
        <row r="660">
          <cell r="A660" t="str">
            <v>Eka</v>
          </cell>
          <cell r="B660">
            <v>25</v>
          </cell>
          <cell r="C660">
            <v>25</v>
          </cell>
          <cell r="D660">
            <v>25</v>
          </cell>
          <cell r="E660">
            <v>25</v>
          </cell>
          <cell r="F660">
            <v>25</v>
          </cell>
          <cell r="G660">
            <v>25</v>
          </cell>
          <cell r="H660">
            <v>25</v>
          </cell>
          <cell r="I660">
            <v>25</v>
          </cell>
          <cell r="J660">
            <v>25</v>
          </cell>
          <cell r="K660">
            <v>25</v>
          </cell>
          <cell r="L660">
            <v>25</v>
          </cell>
          <cell r="M660">
            <v>25</v>
          </cell>
          <cell r="N660">
            <v>25</v>
          </cell>
          <cell r="O660">
            <v>70</v>
          </cell>
          <cell r="P660">
            <v>25</v>
          </cell>
          <cell r="Q660">
            <v>25</v>
          </cell>
          <cell r="R660">
            <v>25</v>
          </cell>
          <cell r="S660">
            <v>25</v>
          </cell>
          <cell r="T660">
            <v>70</v>
          </cell>
          <cell r="U660">
            <v>25</v>
          </cell>
          <cell r="V660">
            <v>25</v>
          </cell>
          <cell r="W660">
            <v>25</v>
          </cell>
        </row>
        <row r="661">
          <cell r="A661" t="str">
            <v>Irk</v>
          </cell>
          <cell r="B661">
            <v>6</v>
          </cell>
          <cell r="C661">
            <v>6</v>
          </cell>
          <cell r="D661">
            <v>6</v>
          </cell>
          <cell r="E661">
            <v>6</v>
          </cell>
          <cell r="F661">
            <v>6</v>
          </cell>
          <cell r="G661">
            <v>6</v>
          </cell>
          <cell r="H661">
            <v>6</v>
          </cell>
          <cell r="I661">
            <v>6</v>
          </cell>
          <cell r="J661">
            <v>6</v>
          </cell>
          <cell r="K661">
            <v>6</v>
          </cell>
          <cell r="L661">
            <v>6</v>
          </cell>
          <cell r="M661">
            <v>6</v>
          </cell>
          <cell r="N661">
            <v>6</v>
          </cell>
          <cell r="O661">
            <v>15</v>
          </cell>
          <cell r="P661">
            <v>6</v>
          </cell>
          <cell r="Q661">
            <v>6</v>
          </cell>
          <cell r="R661">
            <v>6</v>
          </cell>
          <cell r="S661">
            <v>6</v>
          </cell>
          <cell r="T661">
            <v>15</v>
          </cell>
          <cell r="U661">
            <v>6</v>
          </cell>
          <cell r="V661">
            <v>6</v>
          </cell>
          <cell r="W661">
            <v>6</v>
          </cell>
        </row>
        <row r="662">
          <cell r="A662" t="str">
            <v>Kha</v>
          </cell>
          <cell r="B662">
            <v>10</v>
          </cell>
          <cell r="C662">
            <v>10</v>
          </cell>
          <cell r="D662">
            <v>10</v>
          </cell>
          <cell r="E662">
            <v>10</v>
          </cell>
          <cell r="F662">
            <v>10</v>
          </cell>
          <cell r="G662">
            <v>10</v>
          </cell>
          <cell r="H662">
            <v>10</v>
          </cell>
          <cell r="I662">
            <v>10</v>
          </cell>
          <cell r="J662">
            <v>10</v>
          </cell>
          <cell r="K662">
            <v>10</v>
          </cell>
          <cell r="L662">
            <v>10</v>
          </cell>
          <cell r="M662">
            <v>10</v>
          </cell>
          <cell r="N662">
            <v>10</v>
          </cell>
          <cell r="O662">
            <v>24</v>
          </cell>
          <cell r="P662">
            <v>10</v>
          </cell>
          <cell r="Q662">
            <v>10</v>
          </cell>
          <cell r="R662">
            <v>10</v>
          </cell>
          <cell r="S662">
            <v>10</v>
          </cell>
          <cell r="T662">
            <v>24</v>
          </cell>
          <cell r="U662">
            <v>10</v>
          </cell>
          <cell r="V662">
            <v>10</v>
          </cell>
          <cell r="W662">
            <v>10</v>
          </cell>
        </row>
        <row r="663">
          <cell r="A663" t="str">
            <v>Kra</v>
          </cell>
          <cell r="B663">
            <v>6</v>
          </cell>
          <cell r="C663">
            <v>6</v>
          </cell>
          <cell r="D663">
            <v>6</v>
          </cell>
          <cell r="E663">
            <v>6</v>
          </cell>
          <cell r="F663">
            <v>6</v>
          </cell>
          <cell r="G663">
            <v>6</v>
          </cell>
          <cell r="H663">
            <v>6</v>
          </cell>
          <cell r="I663">
            <v>6</v>
          </cell>
          <cell r="J663">
            <v>6</v>
          </cell>
          <cell r="K663">
            <v>6</v>
          </cell>
          <cell r="L663">
            <v>6</v>
          </cell>
          <cell r="M663">
            <v>6</v>
          </cell>
          <cell r="N663">
            <v>6</v>
          </cell>
          <cell r="O663">
            <v>25</v>
          </cell>
          <cell r="P663">
            <v>6</v>
          </cell>
          <cell r="Q663">
            <v>6</v>
          </cell>
          <cell r="R663">
            <v>6</v>
          </cell>
          <cell r="S663">
            <v>6</v>
          </cell>
          <cell r="T663">
            <v>25</v>
          </cell>
          <cell r="U663">
            <v>6</v>
          </cell>
          <cell r="V663">
            <v>6</v>
          </cell>
          <cell r="W663">
            <v>6</v>
          </cell>
        </row>
        <row r="664">
          <cell r="A664" t="str">
            <v>Niz</v>
          </cell>
          <cell r="B664">
            <v>25</v>
          </cell>
          <cell r="C664">
            <v>25</v>
          </cell>
          <cell r="D664">
            <v>25</v>
          </cell>
          <cell r="E664">
            <v>25</v>
          </cell>
          <cell r="F664">
            <v>25</v>
          </cell>
          <cell r="G664">
            <v>25</v>
          </cell>
          <cell r="H664">
            <v>25</v>
          </cell>
          <cell r="I664">
            <v>25</v>
          </cell>
          <cell r="J664">
            <v>25</v>
          </cell>
          <cell r="K664">
            <v>25</v>
          </cell>
          <cell r="L664">
            <v>25</v>
          </cell>
          <cell r="M664">
            <v>25</v>
          </cell>
          <cell r="N664">
            <v>25</v>
          </cell>
          <cell r="O664">
            <v>50</v>
          </cell>
          <cell r="P664">
            <v>25</v>
          </cell>
          <cell r="Q664">
            <v>25</v>
          </cell>
          <cell r="R664">
            <v>25</v>
          </cell>
          <cell r="S664">
            <v>25</v>
          </cell>
          <cell r="T664">
            <v>50</v>
          </cell>
          <cell r="U664">
            <v>25</v>
          </cell>
          <cell r="V664">
            <v>25</v>
          </cell>
          <cell r="W664">
            <v>25</v>
          </cell>
        </row>
        <row r="665">
          <cell r="A665" t="str">
            <v>Nov</v>
          </cell>
          <cell r="B665">
            <v>20</v>
          </cell>
          <cell r="C665">
            <v>20</v>
          </cell>
          <cell r="D665">
            <v>20</v>
          </cell>
          <cell r="E665">
            <v>20</v>
          </cell>
          <cell r="F665">
            <v>20</v>
          </cell>
          <cell r="G665">
            <v>20</v>
          </cell>
          <cell r="H665">
            <v>20</v>
          </cell>
          <cell r="I665">
            <v>20</v>
          </cell>
          <cell r="J665">
            <v>20</v>
          </cell>
          <cell r="K665">
            <v>20</v>
          </cell>
          <cell r="L665">
            <v>20</v>
          </cell>
          <cell r="M665">
            <v>20</v>
          </cell>
          <cell r="N665">
            <v>20</v>
          </cell>
          <cell r="O665">
            <v>120</v>
          </cell>
          <cell r="P665">
            <v>20</v>
          </cell>
          <cell r="Q665">
            <v>20</v>
          </cell>
          <cell r="R665">
            <v>20</v>
          </cell>
          <cell r="S665">
            <v>20</v>
          </cell>
          <cell r="T665">
            <v>120</v>
          </cell>
          <cell r="U665">
            <v>20</v>
          </cell>
          <cell r="V665">
            <v>20</v>
          </cell>
          <cell r="W665">
            <v>20</v>
          </cell>
        </row>
        <row r="666">
          <cell r="A666" t="str">
            <v>Syk</v>
          </cell>
          <cell r="B666">
            <v>10</v>
          </cell>
          <cell r="C666">
            <v>10</v>
          </cell>
          <cell r="D666">
            <v>10</v>
          </cell>
          <cell r="E666">
            <v>10</v>
          </cell>
          <cell r="F666">
            <v>10</v>
          </cell>
          <cell r="G666">
            <v>10</v>
          </cell>
          <cell r="H666">
            <v>10</v>
          </cell>
          <cell r="I666">
            <v>10</v>
          </cell>
          <cell r="J666">
            <v>10</v>
          </cell>
          <cell r="K666">
            <v>10</v>
          </cell>
          <cell r="L666">
            <v>10</v>
          </cell>
          <cell r="M666">
            <v>10</v>
          </cell>
          <cell r="N666">
            <v>10</v>
          </cell>
          <cell r="O666">
            <v>40</v>
          </cell>
          <cell r="P666">
            <v>10</v>
          </cell>
          <cell r="Q666">
            <v>10</v>
          </cell>
          <cell r="R666">
            <v>10</v>
          </cell>
          <cell r="S666">
            <v>10</v>
          </cell>
          <cell r="T666">
            <v>40</v>
          </cell>
          <cell r="U666">
            <v>10</v>
          </cell>
          <cell r="V666">
            <v>10</v>
          </cell>
          <cell r="W666">
            <v>10</v>
          </cell>
        </row>
        <row r="667">
          <cell r="A667" t="str">
            <v>Tyu</v>
          </cell>
          <cell r="B667">
            <v>30</v>
          </cell>
          <cell r="C667">
            <v>30</v>
          </cell>
          <cell r="D667">
            <v>30</v>
          </cell>
          <cell r="E667">
            <v>30</v>
          </cell>
          <cell r="F667">
            <v>30</v>
          </cell>
          <cell r="G667">
            <v>30</v>
          </cell>
          <cell r="H667">
            <v>30</v>
          </cell>
          <cell r="I667">
            <v>30</v>
          </cell>
          <cell r="J667">
            <v>30</v>
          </cell>
          <cell r="K667">
            <v>30</v>
          </cell>
          <cell r="L667">
            <v>30</v>
          </cell>
          <cell r="M667">
            <v>30</v>
          </cell>
          <cell r="N667">
            <v>30</v>
          </cell>
          <cell r="O667">
            <v>50</v>
          </cell>
          <cell r="P667">
            <v>30</v>
          </cell>
          <cell r="Q667">
            <v>30</v>
          </cell>
          <cell r="R667">
            <v>30</v>
          </cell>
          <cell r="S667">
            <v>30</v>
          </cell>
          <cell r="T667">
            <v>50</v>
          </cell>
          <cell r="U667">
            <v>30</v>
          </cell>
          <cell r="V667">
            <v>30</v>
          </cell>
          <cell r="W667">
            <v>30</v>
          </cell>
        </row>
        <row r="668">
          <cell r="A668" t="str">
            <v>Ufa</v>
          </cell>
          <cell r="B668">
            <v>30</v>
          </cell>
          <cell r="C668">
            <v>30</v>
          </cell>
          <cell r="D668">
            <v>30</v>
          </cell>
          <cell r="E668">
            <v>30</v>
          </cell>
          <cell r="F668">
            <v>30</v>
          </cell>
          <cell r="G668">
            <v>30</v>
          </cell>
          <cell r="H668">
            <v>30</v>
          </cell>
          <cell r="I668">
            <v>30</v>
          </cell>
          <cell r="J668">
            <v>30</v>
          </cell>
          <cell r="K668">
            <v>30</v>
          </cell>
          <cell r="L668">
            <v>30</v>
          </cell>
          <cell r="M668">
            <v>30</v>
          </cell>
          <cell r="N668">
            <v>30</v>
          </cell>
          <cell r="O668">
            <v>50</v>
          </cell>
          <cell r="P668">
            <v>30</v>
          </cell>
          <cell r="Q668">
            <v>30</v>
          </cell>
          <cell r="R668">
            <v>30</v>
          </cell>
          <cell r="S668">
            <v>30</v>
          </cell>
          <cell r="T668">
            <v>50</v>
          </cell>
          <cell r="U668">
            <v>30</v>
          </cell>
          <cell r="V668">
            <v>30</v>
          </cell>
          <cell r="W668">
            <v>30</v>
          </cell>
        </row>
        <row r="669">
          <cell r="A669" t="str">
            <v>Vla</v>
          </cell>
          <cell r="B669">
            <v>11</v>
          </cell>
          <cell r="C669">
            <v>11</v>
          </cell>
          <cell r="D669">
            <v>11</v>
          </cell>
          <cell r="E669">
            <v>11</v>
          </cell>
          <cell r="F669">
            <v>11</v>
          </cell>
          <cell r="G669">
            <v>11</v>
          </cell>
          <cell r="H669">
            <v>11</v>
          </cell>
          <cell r="I669">
            <v>11</v>
          </cell>
          <cell r="J669">
            <v>11</v>
          </cell>
          <cell r="K669">
            <v>11</v>
          </cell>
          <cell r="L669">
            <v>11</v>
          </cell>
          <cell r="M669">
            <v>11</v>
          </cell>
          <cell r="N669">
            <v>11</v>
          </cell>
          <cell r="O669">
            <v>25</v>
          </cell>
          <cell r="P669">
            <v>11</v>
          </cell>
          <cell r="Q669">
            <v>11</v>
          </cell>
          <cell r="R669">
            <v>11</v>
          </cell>
          <cell r="S669">
            <v>11</v>
          </cell>
          <cell r="T669">
            <v>25</v>
          </cell>
          <cell r="U669">
            <v>11</v>
          </cell>
          <cell r="V669">
            <v>11</v>
          </cell>
          <cell r="W669">
            <v>11</v>
          </cell>
        </row>
        <row r="670">
          <cell r="A670" t="str">
            <v>Vol</v>
          </cell>
          <cell r="B670">
            <v>10</v>
          </cell>
          <cell r="C670">
            <v>10</v>
          </cell>
          <cell r="D670">
            <v>10</v>
          </cell>
          <cell r="E670">
            <v>10</v>
          </cell>
          <cell r="F670">
            <v>10</v>
          </cell>
          <cell r="G670">
            <v>10</v>
          </cell>
          <cell r="H670">
            <v>10</v>
          </cell>
          <cell r="I670">
            <v>10</v>
          </cell>
          <cell r="J670">
            <v>10</v>
          </cell>
          <cell r="K670">
            <v>10</v>
          </cell>
          <cell r="L670">
            <v>10</v>
          </cell>
          <cell r="M670">
            <v>10</v>
          </cell>
          <cell r="N670">
            <v>10</v>
          </cell>
          <cell r="O670">
            <v>50</v>
          </cell>
          <cell r="P670">
            <v>10</v>
          </cell>
          <cell r="Q670">
            <v>10</v>
          </cell>
          <cell r="R670">
            <v>10</v>
          </cell>
          <cell r="S670">
            <v>10</v>
          </cell>
          <cell r="T670">
            <v>50</v>
          </cell>
          <cell r="U670">
            <v>10</v>
          </cell>
          <cell r="V670">
            <v>10</v>
          </cell>
          <cell r="W670">
            <v>10</v>
          </cell>
        </row>
        <row r="671">
          <cell r="A671" t="str">
            <v>Vor</v>
          </cell>
          <cell r="B671">
            <v>15</v>
          </cell>
          <cell r="C671">
            <v>15</v>
          </cell>
          <cell r="D671">
            <v>15</v>
          </cell>
          <cell r="E671">
            <v>15</v>
          </cell>
          <cell r="F671">
            <v>15</v>
          </cell>
          <cell r="G671">
            <v>15</v>
          </cell>
          <cell r="H671">
            <v>15</v>
          </cell>
          <cell r="I671">
            <v>15</v>
          </cell>
          <cell r="J671">
            <v>15</v>
          </cell>
          <cell r="K671">
            <v>15</v>
          </cell>
          <cell r="L671">
            <v>15</v>
          </cell>
          <cell r="M671">
            <v>15</v>
          </cell>
          <cell r="N671">
            <v>15</v>
          </cell>
          <cell r="O671">
            <v>20</v>
          </cell>
          <cell r="P671">
            <v>15</v>
          </cell>
          <cell r="Q671">
            <v>15</v>
          </cell>
          <cell r="R671">
            <v>15</v>
          </cell>
          <cell r="S671">
            <v>15</v>
          </cell>
          <cell r="T671">
            <v>20</v>
          </cell>
          <cell r="U671">
            <v>15</v>
          </cell>
          <cell r="V671">
            <v>15</v>
          </cell>
          <cell r="W671">
            <v>15</v>
          </cell>
        </row>
        <row r="672">
          <cell r="A672" t="str">
            <v>Sam</v>
          </cell>
          <cell r="B672">
            <v>2</v>
          </cell>
          <cell r="C672">
            <v>2</v>
          </cell>
          <cell r="D672">
            <v>2</v>
          </cell>
          <cell r="E672">
            <v>2</v>
          </cell>
          <cell r="F672">
            <v>2</v>
          </cell>
          <cell r="G672">
            <v>2</v>
          </cell>
          <cell r="H672">
            <v>2</v>
          </cell>
          <cell r="I672">
            <v>2</v>
          </cell>
          <cell r="J672">
            <v>2</v>
          </cell>
          <cell r="K672">
            <v>2</v>
          </cell>
          <cell r="L672">
            <v>2</v>
          </cell>
          <cell r="M672">
            <v>2</v>
          </cell>
          <cell r="N672">
            <v>2</v>
          </cell>
          <cell r="P672">
            <v>2</v>
          </cell>
          <cell r="Q672">
            <v>2</v>
          </cell>
          <cell r="R672">
            <v>2</v>
          </cell>
          <cell r="S672">
            <v>2</v>
          </cell>
          <cell r="T672">
            <v>40</v>
          </cell>
          <cell r="U672">
            <v>2</v>
          </cell>
          <cell r="V672">
            <v>2</v>
          </cell>
          <cell r="W672">
            <v>2</v>
          </cell>
        </row>
        <row r="673">
          <cell r="A673" t="str">
            <v>Con</v>
          </cell>
          <cell r="B673">
            <v>43</v>
          </cell>
          <cell r="C673">
            <v>43</v>
          </cell>
          <cell r="D673">
            <v>43</v>
          </cell>
          <cell r="E673">
            <v>43</v>
          </cell>
          <cell r="F673">
            <v>43</v>
          </cell>
          <cell r="G673">
            <v>43</v>
          </cell>
          <cell r="H673">
            <v>43</v>
          </cell>
          <cell r="I673">
            <v>43</v>
          </cell>
          <cell r="J673">
            <v>43</v>
          </cell>
          <cell r="K673">
            <v>43</v>
          </cell>
          <cell r="L673">
            <v>43</v>
          </cell>
          <cell r="M673">
            <v>43</v>
          </cell>
          <cell r="N673">
            <v>43</v>
          </cell>
          <cell r="O673">
            <v>43</v>
          </cell>
          <cell r="P673">
            <v>43</v>
          </cell>
          <cell r="Q673">
            <v>43</v>
          </cell>
          <cell r="R673">
            <v>43</v>
          </cell>
          <cell r="S673">
            <v>43</v>
          </cell>
          <cell r="T673">
            <v>43</v>
          </cell>
          <cell r="U673">
            <v>43</v>
          </cell>
          <cell r="V673">
            <v>43</v>
          </cell>
          <cell r="W673">
            <v>43</v>
          </cell>
        </row>
        <row r="693">
          <cell r="A693" t="str">
            <v>PCM-4 one-time GPSI</v>
          </cell>
        </row>
        <row r="694">
          <cell r="B694">
            <v>36130</v>
          </cell>
          <cell r="C694">
            <v>36161</v>
          </cell>
          <cell r="D694">
            <v>36192</v>
          </cell>
          <cell r="E694">
            <v>36220</v>
          </cell>
          <cell r="F694">
            <v>36251</v>
          </cell>
          <cell r="G694">
            <v>36281</v>
          </cell>
          <cell r="H694">
            <v>36312</v>
          </cell>
          <cell r="I694">
            <v>36342</v>
          </cell>
          <cell r="J694">
            <v>36373</v>
          </cell>
          <cell r="K694">
            <v>36404</v>
          </cell>
          <cell r="L694">
            <v>36434</v>
          </cell>
          <cell r="M694">
            <v>36465</v>
          </cell>
          <cell r="N694">
            <v>36495</v>
          </cell>
          <cell r="O694" t="str">
            <v>Total 99</v>
          </cell>
          <cell r="P694" t="str">
            <v>Q1-2000</v>
          </cell>
          <cell r="Q694" t="str">
            <v>Q2-2000</v>
          </cell>
          <cell r="R694" t="str">
            <v>Q3-2000</v>
          </cell>
          <cell r="S694" t="str">
            <v>Q4-2000</v>
          </cell>
          <cell r="T694" t="str">
            <v>Total 2000</v>
          </cell>
          <cell r="U694">
            <v>2001</v>
          </cell>
          <cell r="V694">
            <v>2002</v>
          </cell>
          <cell r="W694">
            <v>2003</v>
          </cell>
        </row>
        <row r="695">
          <cell r="A695" t="str">
            <v>Ark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 t="str">
            <v>Eka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 t="str">
            <v>Irk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 t="str">
            <v>Kha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 t="str">
            <v>Kra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 t="str">
            <v>Niz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 t="str">
            <v>Nov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 t="str">
            <v>Syk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 t="str">
            <v>Tyu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 t="str">
            <v>Ufa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 t="str">
            <v>Vla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 t="str">
            <v>Vol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A707" t="str">
            <v>Vor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 t="str">
            <v>Sam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 t="str">
            <v>Con</v>
          </cell>
          <cell r="B709">
            <v>700</v>
          </cell>
          <cell r="C709">
            <v>700</v>
          </cell>
          <cell r="D709">
            <v>700</v>
          </cell>
          <cell r="E709">
            <v>700</v>
          </cell>
          <cell r="F709">
            <v>700</v>
          </cell>
          <cell r="G709">
            <v>700</v>
          </cell>
          <cell r="H709">
            <v>700</v>
          </cell>
          <cell r="I709">
            <v>700</v>
          </cell>
          <cell r="J709">
            <v>700</v>
          </cell>
          <cell r="K709">
            <v>700</v>
          </cell>
          <cell r="L709">
            <v>700</v>
          </cell>
          <cell r="M709">
            <v>700</v>
          </cell>
          <cell r="N709">
            <v>700</v>
          </cell>
          <cell r="O709">
            <v>0</v>
          </cell>
          <cell r="P709">
            <v>630</v>
          </cell>
          <cell r="Q709">
            <v>630</v>
          </cell>
          <cell r="R709">
            <v>630</v>
          </cell>
          <cell r="S709">
            <v>630</v>
          </cell>
          <cell r="T709">
            <v>0</v>
          </cell>
          <cell r="U709">
            <v>567</v>
          </cell>
          <cell r="V709">
            <v>510.3</v>
          </cell>
          <cell r="W709">
            <v>459.27</v>
          </cell>
        </row>
        <row r="711">
          <cell r="A711" t="str">
            <v>PCM-4 monthly GPSI</v>
          </cell>
        </row>
        <row r="712">
          <cell r="B712">
            <v>36130</v>
          </cell>
          <cell r="C712">
            <v>36161</v>
          </cell>
          <cell r="D712">
            <v>36192</v>
          </cell>
          <cell r="E712">
            <v>36220</v>
          </cell>
          <cell r="F712">
            <v>36251</v>
          </cell>
          <cell r="G712">
            <v>36281</v>
          </cell>
          <cell r="H712">
            <v>36312</v>
          </cell>
          <cell r="I712">
            <v>36342</v>
          </cell>
          <cell r="J712">
            <v>36373</v>
          </cell>
          <cell r="K712">
            <v>36404</v>
          </cell>
          <cell r="L712">
            <v>36434</v>
          </cell>
          <cell r="M712">
            <v>36465</v>
          </cell>
          <cell r="N712">
            <v>36495</v>
          </cell>
          <cell r="O712" t="str">
            <v>Total 99</v>
          </cell>
          <cell r="P712" t="str">
            <v>Q1-2000</v>
          </cell>
          <cell r="Q712" t="str">
            <v>Q2-2000</v>
          </cell>
          <cell r="R712" t="str">
            <v>Q3-2000</v>
          </cell>
          <cell r="S712" t="str">
            <v>Q4-2000</v>
          </cell>
          <cell r="T712" t="str">
            <v>Total 2000</v>
          </cell>
          <cell r="U712">
            <v>2001</v>
          </cell>
          <cell r="V712">
            <v>2002</v>
          </cell>
          <cell r="W712">
            <v>2003</v>
          </cell>
        </row>
        <row r="713">
          <cell r="A713" t="str">
            <v>Ark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 t="str">
            <v>Eka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 t="str">
            <v>Irk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 t="str">
            <v>Kha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 t="str">
            <v>Kra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 t="str">
            <v>Niz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 t="str">
            <v>Nov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 t="str">
            <v>Syk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 t="str">
            <v>Tyu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 t="str">
            <v>Ufa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 t="str">
            <v>Vla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 t="str">
            <v>Vol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 t="str">
            <v>Vor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 t="str">
            <v>Sam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 t="str">
            <v>Con</v>
          </cell>
          <cell r="B727">
            <v>50</v>
          </cell>
          <cell r="C727">
            <v>50</v>
          </cell>
          <cell r="D727">
            <v>50</v>
          </cell>
          <cell r="E727">
            <v>50</v>
          </cell>
          <cell r="F727">
            <v>50</v>
          </cell>
          <cell r="G727">
            <v>50</v>
          </cell>
          <cell r="H727">
            <v>50</v>
          </cell>
          <cell r="I727">
            <v>50</v>
          </cell>
          <cell r="J727">
            <v>50</v>
          </cell>
          <cell r="K727">
            <v>50</v>
          </cell>
          <cell r="L727">
            <v>50</v>
          </cell>
          <cell r="M727">
            <v>50</v>
          </cell>
          <cell r="N727">
            <v>50</v>
          </cell>
          <cell r="P727">
            <v>45</v>
          </cell>
          <cell r="Q727">
            <v>45</v>
          </cell>
          <cell r="R727">
            <v>45</v>
          </cell>
          <cell r="S727">
            <v>45</v>
          </cell>
          <cell r="U727">
            <v>40.5</v>
          </cell>
          <cell r="V727">
            <v>36.450000000000003</v>
          </cell>
          <cell r="W727">
            <v>32.805</v>
          </cell>
        </row>
        <row r="826">
          <cell r="A826" t="str">
            <v>Aggr GTS Average international tariff GPSI</v>
          </cell>
        </row>
        <row r="827">
          <cell r="B827">
            <v>35765</v>
          </cell>
          <cell r="C827">
            <v>35796</v>
          </cell>
          <cell r="D827">
            <v>35827</v>
          </cell>
          <cell r="E827">
            <v>35855</v>
          </cell>
          <cell r="F827">
            <v>35886</v>
          </cell>
          <cell r="G827">
            <v>35916</v>
          </cell>
          <cell r="H827">
            <v>35947</v>
          </cell>
          <cell r="I827">
            <v>35977</v>
          </cell>
          <cell r="J827">
            <v>36008</v>
          </cell>
          <cell r="K827">
            <v>36039</v>
          </cell>
          <cell r="L827">
            <v>36069</v>
          </cell>
          <cell r="M827">
            <v>36100</v>
          </cell>
          <cell r="N827">
            <v>36130</v>
          </cell>
          <cell r="O827" t="str">
            <v>Total 98</v>
          </cell>
          <cell r="P827" t="str">
            <v>Q1-99</v>
          </cell>
          <cell r="Q827" t="str">
            <v>Q2-99</v>
          </cell>
          <cell r="R827" t="str">
            <v>Q3-99</v>
          </cell>
          <cell r="S827" t="str">
            <v>Q4-99</v>
          </cell>
          <cell r="T827" t="str">
            <v>Total 99</v>
          </cell>
          <cell r="U827">
            <v>2000</v>
          </cell>
          <cell r="V827">
            <v>2001</v>
          </cell>
          <cell r="W827">
            <v>2002</v>
          </cell>
        </row>
        <row r="828">
          <cell r="A828" t="str">
            <v>Ark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A829" t="str">
            <v>Eka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U829">
            <v>0</v>
          </cell>
          <cell r="V829">
            <v>0</v>
          </cell>
          <cell r="W829">
            <v>0</v>
          </cell>
        </row>
        <row r="830">
          <cell r="A830" t="str">
            <v>Irk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U830">
            <v>0</v>
          </cell>
          <cell r="V830">
            <v>0</v>
          </cell>
          <cell r="W830">
            <v>0</v>
          </cell>
        </row>
        <row r="831">
          <cell r="A831" t="str">
            <v>Kha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U831">
            <v>0</v>
          </cell>
          <cell r="V831">
            <v>0</v>
          </cell>
          <cell r="W831">
            <v>0</v>
          </cell>
        </row>
        <row r="832">
          <cell r="A832" t="str">
            <v>Kra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U832">
            <v>0</v>
          </cell>
          <cell r="V832">
            <v>0</v>
          </cell>
          <cell r="W832">
            <v>0</v>
          </cell>
        </row>
        <row r="833">
          <cell r="A833" t="str">
            <v>Niz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U833">
            <v>0</v>
          </cell>
          <cell r="V833">
            <v>0</v>
          </cell>
          <cell r="W833">
            <v>0</v>
          </cell>
        </row>
        <row r="834">
          <cell r="A834" t="str">
            <v>Nov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U834">
            <v>0</v>
          </cell>
          <cell r="V834">
            <v>0</v>
          </cell>
          <cell r="W834">
            <v>0</v>
          </cell>
        </row>
        <row r="835">
          <cell r="A835" t="str">
            <v>Syk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A836" t="str">
            <v>Tyu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A837" t="str">
            <v>Ufa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U837">
            <v>0</v>
          </cell>
          <cell r="V837">
            <v>0</v>
          </cell>
          <cell r="W837">
            <v>0</v>
          </cell>
        </row>
        <row r="838">
          <cell r="A838" t="str">
            <v>Vla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A839" t="str">
            <v>Vol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</row>
        <row r="840">
          <cell r="A840" t="str">
            <v>Vor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A841" t="str">
            <v>Mos</v>
          </cell>
        </row>
        <row r="842">
          <cell r="A842" t="str">
            <v>Con</v>
          </cell>
          <cell r="C842">
            <v>1.6073500000000003</v>
          </cell>
          <cell r="D842">
            <v>1.6073500000000003</v>
          </cell>
          <cell r="E842">
            <v>1.6073500000000003</v>
          </cell>
          <cell r="F842">
            <v>1.6073500000000003</v>
          </cell>
          <cell r="G842">
            <v>1.6073500000000003</v>
          </cell>
          <cell r="H842">
            <v>1.6073500000000003</v>
          </cell>
          <cell r="I842">
            <v>1.6073500000000003</v>
          </cell>
          <cell r="J842">
            <v>1.6073500000000003</v>
          </cell>
          <cell r="K842">
            <v>1.6073500000000003</v>
          </cell>
          <cell r="L842">
            <v>1.6073500000000003</v>
          </cell>
          <cell r="M842">
            <v>1.6073500000000003</v>
          </cell>
          <cell r="N842">
            <v>1.6073500000000003</v>
          </cell>
          <cell r="P842">
            <v>1.6073500000000003</v>
          </cell>
          <cell r="Q842">
            <v>1.6073500000000003</v>
          </cell>
          <cell r="R842">
            <v>1.6073500000000003</v>
          </cell>
          <cell r="S842">
            <v>1.6073500000000003</v>
          </cell>
          <cell r="U842">
            <v>1.5269825000000001</v>
          </cell>
          <cell r="V842">
            <v>1.450633375</v>
          </cell>
          <cell r="W842">
            <v>1.3781017062499998</v>
          </cell>
        </row>
        <row r="880">
          <cell r="A880" t="str">
            <v xml:space="preserve">BC Average intercity tariff GPSI </v>
          </cell>
        </row>
        <row r="881">
          <cell r="B881">
            <v>36130</v>
          </cell>
          <cell r="C881">
            <v>36161</v>
          </cell>
          <cell r="D881">
            <v>36192</v>
          </cell>
          <cell r="E881">
            <v>36220</v>
          </cell>
          <cell r="F881">
            <v>36251</v>
          </cell>
          <cell r="G881">
            <v>36281</v>
          </cell>
          <cell r="H881">
            <v>36312</v>
          </cell>
          <cell r="I881">
            <v>36342</v>
          </cell>
          <cell r="J881">
            <v>36373</v>
          </cell>
          <cell r="K881">
            <v>36404</v>
          </cell>
          <cell r="L881">
            <v>36434</v>
          </cell>
          <cell r="M881">
            <v>36465</v>
          </cell>
          <cell r="N881">
            <v>36495</v>
          </cell>
          <cell r="O881" t="str">
            <v>Total 99</v>
          </cell>
          <cell r="P881" t="str">
            <v>Q1-2000</v>
          </cell>
          <cell r="Q881" t="str">
            <v>Q2-2000</v>
          </cell>
          <cell r="R881" t="str">
            <v>Q3-2000</v>
          </cell>
          <cell r="S881" t="str">
            <v>Q4-2000</v>
          </cell>
          <cell r="T881" t="str">
            <v>Total 2000</v>
          </cell>
          <cell r="U881">
            <v>2001</v>
          </cell>
          <cell r="V881">
            <v>2002</v>
          </cell>
          <cell r="W881">
            <v>2003</v>
          </cell>
        </row>
        <row r="882">
          <cell r="A882" t="str">
            <v>Ark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U882">
            <v>0</v>
          </cell>
          <cell r="V882">
            <v>0</v>
          </cell>
          <cell r="W882">
            <v>0</v>
          </cell>
        </row>
        <row r="883">
          <cell r="A883" t="str">
            <v>Eka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U883">
            <v>0</v>
          </cell>
          <cell r="V883">
            <v>0</v>
          </cell>
          <cell r="W883">
            <v>0</v>
          </cell>
        </row>
        <row r="884">
          <cell r="A884" t="str">
            <v>Irk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U884">
            <v>0</v>
          </cell>
          <cell r="V884">
            <v>0</v>
          </cell>
          <cell r="W884">
            <v>0</v>
          </cell>
        </row>
        <row r="885">
          <cell r="A885" t="str">
            <v>Kha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U885">
            <v>0</v>
          </cell>
          <cell r="V885">
            <v>0</v>
          </cell>
          <cell r="W885">
            <v>0</v>
          </cell>
        </row>
        <row r="886">
          <cell r="A886" t="str">
            <v>Kra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</row>
        <row r="887">
          <cell r="A887" t="str">
            <v>Niz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</row>
        <row r="888">
          <cell r="A888" t="str">
            <v>Nov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U888">
            <v>0</v>
          </cell>
          <cell r="V888">
            <v>0</v>
          </cell>
          <cell r="W888">
            <v>0</v>
          </cell>
        </row>
        <row r="889">
          <cell r="A889" t="str">
            <v>Syk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</row>
        <row r="890">
          <cell r="A890" t="str">
            <v>Tyu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</row>
        <row r="891">
          <cell r="A891" t="str">
            <v>Ufa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U891">
            <v>0</v>
          </cell>
          <cell r="V891">
            <v>0</v>
          </cell>
          <cell r="W891">
            <v>0</v>
          </cell>
        </row>
        <row r="892">
          <cell r="A892" t="str">
            <v>Vla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A893" t="str">
            <v>Vol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U893">
            <v>0</v>
          </cell>
          <cell r="V893">
            <v>0</v>
          </cell>
          <cell r="W893">
            <v>0</v>
          </cell>
        </row>
        <row r="894">
          <cell r="A894" t="str">
            <v>Vor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</row>
        <row r="895">
          <cell r="A895" t="str">
            <v>Sam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</row>
        <row r="896">
          <cell r="A896" t="str">
            <v>Con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P896">
            <v>0.80688461538461542</v>
          </cell>
          <cell r="Q896">
            <v>0.80688461538461542</v>
          </cell>
          <cell r="R896">
            <v>0.80688461538461542</v>
          </cell>
          <cell r="S896">
            <v>0.80688461538461542</v>
          </cell>
          <cell r="U896">
            <v>0.72619615384615388</v>
          </cell>
          <cell r="V896">
            <v>0.65357653846153851</v>
          </cell>
          <cell r="W896">
            <v>0.58821888461538463</v>
          </cell>
        </row>
        <row r="916">
          <cell r="A916" t="str">
            <v>BC Average international tariff GPSI</v>
          </cell>
        </row>
        <row r="917">
          <cell r="B917">
            <v>36130</v>
          </cell>
          <cell r="C917">
            <v>36161</v>
          </cell>
          <cell r="D917">
            <v>36192</v>
          </cell>
          <cell r="E917">
            <v>36220</v>
          </cell>
          <cell r="F917">
            <v>36251</v>
          </cell>
          <cell r="G917">
            <v>36281</v>
          </cell>
          <cell r="H917">
            <v>36312</v>
          </cell>
          <cell r="I917">
            <v>36342</v>
          </cell>
          <cell r="J917">
            <v>36373</v>
          </cell>
          <cell r="K917">
            <v>36404</v>
          </cell>
          <cell r="L917">
            <v>36434</v>
          </cell>
          <cell r="M917">
            <v>36465</v>
          </cell>
          <cell r="N917">
            <v>36495</v>
          </cell>
          <cell r="O917" t="str">
            <v>Total 99</v>
          </cell>
          <cell r="P917" t="str">
            <v>Q1-2000</v>
          </cell>
          <cell r="Q917" t="str">
            <v>Q2-2000</v>
          </cell>
          <cell r="R917" t="str">
            <v>Q3-2000</v>
          </cell>
          <cell r="S917" t="str">
            <v>Q4-2000</v>
          </cell>
          <cell r="T917" t="str">
            <v>Total 2000</v>
          </cell>
          <cell r="U917">
            <v>2001</v>
          </cell>
          <cell r="V917">
            <v>2002</v>
          </cell>
          <cell r="W917">
            <v>2003</v>
          </cell>
        </row>
        <row r="918">
          <cell r="A918" t="str">
            <v>Ark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A919" t="str">
            <v>Eka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</row>
        <row r="920">
          <cell r="A920" t="str">
            <v>Irk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</row>
        <row r="921">
          <cell r="A921" t="str">
            <v>Kha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U921">
            <v>0</v>
          </cell>
          <cell r="V921">
            <v>0</v>
          </cell>
          <cell r="W921">
            <v>0</v>
          </cell>
        </row>
        <row r="922">
          <cell r="A922" t="str">
            <v>Kra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A923" t="str">
            <v>Niz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</row>
        <row r="924">
          <cell r="A924" t="str">
            <v>Nov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A925" t="str">
            <v>Syk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A926" t="str">
            <v>Tyu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A927" t="str">
            <v>Ufa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U927">
            <v>0</v>
          </cell>
          <cell r="V927">
            <v>0</v>
          </cell>
          <cell r="W927">
            <v>0</v>
          </cell>
        </row>
        <row r="928">
          <cell r="A928" t="str">
            <v>Vla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A929" t="str">
            <v>Vol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U929">
            <v>0</v>
          </cell>
          <cell r="V929">
            <v>0</v>
          </cell>
          <cell r="W929">
            <v>0</v>
          </cell>
        </row>
        <row r="930">
          <cell r="A930" t="str">
            <v>Vor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U930">
            <v>0</v>
          </cell>
          <cell r="V930">
            <v>0</v>
          </cell>
          <cell r="W930">
            <v>0</v>
          </cell>
        </row>
        <row r="931">
          <cell r="A931" t="str">
            <v>Sam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A932" t="str">
            <v>Con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U932">
            <v>0</v>
          </cell>
          <cell r="V932">
            <v>0</v>
          </cell>
          <cell r="W932">
            <v>0</v>
          </cell>
        </row>
        <row r="970">
          <cell r="A970" t="str">
            <v>Swtch Average Intercity Tariff GPSI</v>
          </cell>
        </row>
        <row r="971">
          <cell r="B971">
            <v>36130</v>
          </cell>
          <cell r="C971">
            <v>36161</v>
          </cell>
          <cell r="D971">
            <v>36192</v>
          </cell>
          <cell r="E971">
            <v>36220</v>
          </cell>
          <cell r="F971">
            <v>36251</v>
          </cell>
          <cell r="G971">
            <v>36281</v>
          </cell>
          <cell r="H971">
            <v>36312</v>
          </cell>
          <cell r="I971">
            <v>36342</v>
          </cell>
          <cell r="J971">
            <v>36373</v>
          </cell>
          <cell r="K971">
            <v>36404</v>
          </cell>
          <cell r="L971">
            <v>36434</v>
          </cell>
          <cell r="M971">
            <v>36465</v>
          </cell>
          <cell r="N971">
            <v>36495</v>
          </cell>
          <cell r="O971" t="str">
            <v>Total 99</v>
          </cell>
          <cell r="P971" t="str">
            <v>Q1-2000</v>
          </cell>
          <cell r="Q971" t="str">
            <v>Q2-2000</v>
          </cell>
          <cell r="R971" t="str">
            <v>Q3-2000</v>
          </cell>
          <cell r="S971" t="str">
            <v>Q4-2000</v>
          </cell>
          <cell r="T971" t="str">
            <v>Total 2000</v>
          </cell>
          <cell r="U971">
            <v>2001</v>
          </cell>
          <cell r="V971">
            <v>2002</v>
          </cell>
          <cell r="W971">
            <v>2003</v>
          </cell>
        </row>
        <row r="972">
          <cell r="A972" t="str">
            <v>Ark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U972">
            <v>0</v>
          </cell>
          <cell r="V972">
            <v>0</v>
          </cell>
          <cell r="W972">
            <v>0</v>
          </cell>
        </row>
        <row r="973">
          <cell r="A973" t="str">
            <v>Eka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</row>
        <row r="974">
          <cell r="A974" t="str">
            <v>Irk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U974">
            <v>0</v>
          </cell>
          <cell r="V974">
            <v>0</v>
          </cell>
          <cell r="W974">
            <v>0</v>
          </cell>
        </row>
        <row r="975">
          <cell r="A975" t="str">
            <v>Kha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U975">
            <v>0</v>
          </cell>
          <cell r="V975">
            <v>0</v>
          </cell>
          <cell r="W975">
            <v>0</v>
          </cell>
        </row>
        <row r="976">
          <cell r="A976" t="str">
            <v>Kra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U976">
            <v>0</v>
          </cell>
          <cell r="V976">
            <v>0</v>
          </cell>
          <cell r="W976">
            <v>0</v>
          </cell>
        </row>
        <row r="977">
          <cell r="A977" t="str">
            <v>Niz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A978" t="str">
            <v>Nov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U978">
            <v>0</v>
          </cell>
          <cell r="V978">
            <v>0</v>
          </cell>
          <cell r="W978">
            <v>0</v>
          </cell>
        </row>
        <row r="979">
          <cell r="A979" t="str">
            <v>Syk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</row>
        <row r="980">
          <cell r="A980" t="str">
            <v>Tyu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U980">
            <v>0</v>
          </cell>
          <cell r="V980">
            <v>0</v>
          </cell>
          <cell r="W980">
            <v>0</v>
          </cell>
        </row>
        <row r="981">
          <cell r="A981" t="str">
            <v>Ufa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</row>
        <row r="982">
          <cell r="A982" t="str">
            <v>Vla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</row>
        <row r="983">
          <cell r="A983" t="str">
            <v>Vol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U983">
            <v>0</v>
          </cell>
          <cell r="V983">
            <v>0</v>
          </cell>
          <cell r="W983">
            <v>0</v>
          </cell>
        </row>
        <row r="984">
          <cell r="A984" t="str">
            <v>Vor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</row>
        <row r="985">
          <cell r="A985" t="str">
            <v>Sam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U985">
            <v>0</v>
          </cell>
          <cell r="V985">
            <v>0</v>
          </cell>
          <cell r="W985">
            <v>0</v>
          </cell>
        </row>
        <row r="986">
          <cell r="A986" t="str">
            <v>Con</v>
          </cell>
          <cell r="B986">
            <v>0.23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U986">
            <v>0</v>
          </cell>
          <cell r="V986">
            <v>0</v>
          </cell>
          <cell r="W986">
            <v>0</v>
          </cell>
        </row>
        <row r="1804">
          <cell r="A1804" t="str">
            <v>Sovintel Incoming Tariff GPSI</v>
          </cell>
        </row>
        <row r="1805">
          <cell r="B1805">
            <v>36130</v>
          </cell>
          <cell r="C1805">
            <v>36161</v>
          </cell>
          <cell r="D1805">
            <v>36192</v>
          </cell>
          <cell r="E1805">
            <v>36220</v>
          </cell>
          <cell r="F1805">
            <v>36251</v>
          </cell>
          <cell r="G1805">
            <v>36281</v>
          </cell>
          <cell r="H1805">
            <v>36312</v>
          </cell>
          <cell r="I1805">
            <v>36342</v>
          </cell>
          <cell r="J1805">
            <v>36373</v>
          </cell>
          <cell r="K1805">
            <v>36404</v>
          </cell>
          <cell r="L1805">
            <v>36434</v>
          </cell>
          <cell r="M1805">
            <v>36465</v>
          </cell>
          <cell r="N1805">
            <v>36495</v>
          </cell>
          <cell r="O1805" t="str">
            <v>Total 99</v>
          </cell>
          <cell r="P1805" t="str">
            <v>Q1-2000</v>
          </cell>
          <cell r="Q1805" t="str">
            <v>Q2-2000</v>
          </cell>
          <cell r="R1805" t="str">
            <v>Q3-2000</v>
          </cell>
          <cell r="S1805" t="str">
            <v>Q4-2000</v>
          </cell>
          <cell r="T1805" t="str">
            <v>Total 2000</v>
          </cell>
          <cell r="U1805">
            <v>2001</v>
          </cell>
          <cell r="V1805">
            <v>2002</v>
          </cell>
          <cell r="W1805">
            <v>2003</v>
          </cell>
        </row>
        <row r="1806">
          <cell r="A1806" t="str">
            <v>Ark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U1806">
            <v>0</v>
          </cell>
          <cell r="V1806">
            <v>0</v>
          </cell>
          <cell r="W1806">
            <v>0</v>
          </cell>
        </row>
        <row r="1807">
          <cell r="A1807" t="str">
            <v>Eka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U1807">
            <v>0</v>
          </cell>
          <cell r="V1807">
            <v>0</v>
          </cell>
          <cell r="W1807">
            <v>0</v>
          </cell>
        </row>
        <row r="1808">
          <cell r="A1808" t="str">
            <v>Irk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U1808">
            <v>0</v>
          </cell>
          <cell r="V1808">
            <v>0</v>
          </cell>
          <cell r="W1808">
            <v>0</v>
          </cell>
        </row>
        <row r="1809">
          <cell r="A1809" t="str">
            <v>Kha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U1809">
            <v>0</v>
          </cell>
          <cell r="V1809">
            <v>0</v>
          </cell>
          <cell r="W1809">
            <v>0</v>
          </cell>
        </row>
        <row r="1810">
          <cell r="A1810" t="str">
            <v>Kra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U1810">
            <v>0</v>
          </cell>
          <cell r="V1810">
            <v>0</v>
          </cell>
          <cell r="W1810">
            <v>0</v>
          </cell>
        </row>
        <row r="1811">
          <cell r="A1811" t="str">
            <v>Niz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U1811">
            <v>0</v>
          </cell>
          <cell r="V1811">
            <v>0</v>
          </cell>
          <cell r="W1811">
            <v>0</v>
          </cell>
        </row>
        <row r="1812">
          <cell r="A1812" t="str">
            <v>Nov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U1812">
            <v>0</v>
          </cell>
          <cell r="V1812">
            <v>0</v>
          </cell>
          <cell r="W1812">
            <v>0</v>
          </cell>
        </row>
        <row r="1813">
          <cell r="A1813" t="str">
            <v>Syk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U1813">
            <v>0</v>
          </cell>
          <cell r="V1813">
            <v>0</v>
          </cell>
          <cell r="W1813">
            <v>0</v>
          </cell>
        </row>
        <row r="1814">
          <cell r="A1814" t="str">
            <v>Tyu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U1814">
            <v>0</v>
          </cell>
          <cell r="V1814">
            <v>0</v>
          </cell>
          <cell r="W1814">
            <v>0</v>
          </cell>
        </row>
        <row r="1815">
          <cell r="A1815" t="str">
            <v>Ufa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U1815">
            <v>0</v>
          </cell>
          <cell r="V1815">
            <v>0</v>
          </cell>
          <cell r="W1815">
            <v>0</v>
          </cell>
        </row>
        <row r="1816">
          <cell r="A1816" t="str">
            <v>Vla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U1816">
            <v>0</v>
          </cell>
          <cell r="V1816">
            <v>0</v>
          </cell>
          <cell r="W1816">
            <v>0</v>
          </cell>
        </row>
        <row r="1817">
          <cell r="A1817" t="str">
            <v>Vol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U1817">
            <v>0</v>
          </cell>
          <cell r="V1817">
            <v>0</v>
          </cell>
          <cell r="W1817">
            <v>0</v>
          </cell>
        </row>
        <row r="1818">
          <cell r="A1818" t="str">
            <v>Vor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U1818">
            <v>0</v>
          </cell>
          <cell r="V1818">
            <v>0</v>
          </cell>
          <cell r="W1818">
            <v>0</v>
          </cell>
        </row>
        <row r="1819">
          <cell r="A1819" t="str">
            <v>Sam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U1819">
            <v>0</v>
          </cell>
          <cell r="V1819">
            <v>0</v>
          </cell>
          <cell r="W1819">
            <v>0</v>
          </cell>
        </row>
        <row r="1820">
          <cell r="A1820" t="str">
            <v>97#2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U1820">
            <v>0</v>
          </cell>
          <cell r="V1820">
            <v>0</v>
          </cell>
          <cell r="W1820">
            <v>0</v>
          </cell>
        </row>
        <row r="1821">
          <cell r="A1821" t="str">
            <v>98#1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U1821">
            <v>0</v>
          </cell>
          <cell r="V1821">
            <v>0</v>
          </cell>
          <cell r="W1821">
            <v>0</v>
          </cell>
        </row>
      </sheetData>
      <sheetData sheetId="2">
        <row r="783">
          <cell r="A783" t="str">
            <v xml:space="preserve">Aggr GTS Average intercity tariff </v>
          </cell>
        </row>
      </sheetData>
      <sheetData sheetId="3">
        <row r="42">
          <cell r="A42" t="str">
            <v>WCD/RCD Installation fee GPSI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"/>
    </sheetNames>
    <definedNames>
      <definedName name="Consol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lCentre"/>
      <sheetName val="Channels"/>
      <sheetName val="FinancialModule"/>
      <sheetName val="Market"/>
      <sheetName val="GSM"/>
      <sheetName val="UTRAN"/>
      <sheetName val="Depreciation"/>
      <sheetName val="UnitCost"/>
      <sheetName val="WholesaleTrafficPricing"/>
      <sheetName val="Billing"/>
      <sheetName val="VI Model Library-Ingunn1602"/>
    </sheetNames>
    <sheetDataSet>
      <sheetData sheetId="0"/>
      <sheetData sheetId="1" refreshError="1">
        <row r="253">
          <cell r="C253" t="str">
            <v>Default INPUT field</v>
          </cell>
          <cell r="D253" t="str">
            <v>Unit</v>
          </cell>
          <cell r="E253">
            <v>1999</v>
          </cell>
          <cell r="F253">
            <v>2000</v>
          </cell>
          <cell r="G253">
            <v>2001</v>
          </cell>
          <cell r="H253">
            <v>2002</v>
          </cell>
          <cell r="I253">
            <v>2003</v>
          </cell>
          <cell r="J253">
            <v>2004</v>
          </cell>
          <cell r="K253">
            <v>2005</v>
          </cell>
          <cell r="L253">
            <v>2006</v>
          </cell>
          <cell r="M253">
            <v>2007</v>
          </cell>
          <cell r="N253">
            <v>2008</v>
          </cell>
          <cell r="O253">
            <v>2009</v>
          </cell>
          <cell r="P253">
            <v>2010</v>
          </cell>
        </row>
        <row r="255">
          <cell r="C255" t="str">
            <v>Customer base</v>
          </cell>
        </row>
        <row r="256">
          <cell r="C256" t="str">
            <v>VI  National Premium customers, EOY</v>
          </cell>
          <cell r="D256" t="str">
            <v>(000's)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C257" t="str">
            <v>VI  Metro Premium customers, EOY</v>
          </cell>
          <cell r="D257" t="str">
            <v>(000's)</v>
          </cell>
          <cell r="F257">
            <v>3.7700754564667149</v>
          </cell>
          <cell r="G257">
            <v>149.07096343629192</v>
          </cell>
          <cell r="H257">
            <v>388.84501568317575</v>
          </cell>
          <cell r="I257">
            <v>816.17324908177511</v>
          </cell>
          <cell r="J257">
            <v>1329.2810247432251</v>
          </cell>
          <cell r="K257">
            <v>1735.3513004531844</v>
          </cell>
          <cell r="L257">
            <v>2046.2568310777483</v>
          </cell>
          <cell r="M257">
            <v>2305.1174653313765</v>
          </cell>
          <cell r="N257">
            <v>2517.0354800312598</v>
          </cell>
          <cell r="O257">
            <v>2729.9078509792021</v>
          </cell>
          <cell r="P257">
            <v>2921.4651837459851</v>
          </cell>
        </row>
        <row r="258">
          <cell r="C258" t="str">
            <v>VI  Metro customers, EOY</v>
          </cell>
          <cell r="D258" t="str">
            <v>(000's)</v>
          </cell>
          <cell r="F258">
            <v>26.743805982257047</v>
          </cell>
          <cell r="G258">
            <v>591.46957625795142</v>
          </cell>
          <cell r="H258">
            <v>1396.24696342831</v>
          </cell>
          <cell r="I258">
            <v>2626.649938892218</v>
          </cell>
          <cell r="J258">
            <v>3842.0120641541557</v>
          </cell>
          <cell r="K258">
            <v>4830.6574840472549</v>
          </cell>
          <cell r="L258">
            <v>5457.7616240256211</v>
          </cell>
          <cell r="M258">
            <v>5922.2770240346354</v>
          </cell>
          <cell r="N258">
            <v>6315.7119214603845</v>
          </cell>
          <cell r="O258">
            <v>6602.9828681458548</v>
          </cell>
          <cell r="P258">
            <v>6838.1269749611683</v>
          </cell>
        </row>
        <row r="260">
          <cell r="C260" t="str">
            <v>VIAG Interkom Churn Rate</v>
          </cell>
          <cell r="D260" t="str">
            <v>%</v>
          </cell>
          <cell r="F260">
            <v>0.35</v>
          </cell>
          <cell r="G260">
            <v>0.25</v>
          </cell>
          <cell r="H260">
            <v>0.2</v>
          </cell>
          <cell r="I260">
            <v>0.2</v>
          </cell>
          <cell r="J260">
            <v>0.2</v>
          </cell>
          <cell r="K260">
            <v>0.2</v>
          </cell>
          <cell r="L260">
            <v>0.2</v>
          </cell>
          <cell r="M260">
            <v>0.2</v>
          </cell>
          <cell r="N260">
            <v>0.2</v>
          </cell>
          <cell r="O260">
            <v>0.2</v>
          </cell>
          <cell r="P260">
            <v>0.2</v>
          </cell>
        </row>
        <row r="262">
          <cell r="C262" t="str">
            <v>Months in operation, mobile customers</v>
          </cell>
          <cell r="D262" t="str">
            <v># months</v>
          </cell>
          <cell r="F262">
            <v>3</v>
          </cell>
          <cell r="G262">
            <v>12</v>
          </cell>
          <cell r="H262">
            <v>12</v>
          </cell>
          <cell r="I262">
            <v>12</v>
          </cell>
          <cell r="J262">
            <v>12</v>
          </cell>
          <cell r="K262">
            <v>12</v>
          </cell>
          <cell r="L262">
            <v>12</v>
          </cell>
          <cell r="M262">
            <v>12</v>
          </cell>
          <cell r="N262">
            <v>12</v>
          </cell>
          <cell r="O262">
            <v>12</v>
          </cell>
          <cell r="P262">
            <v>12</v>
          </cell>
        </row>
        <row r="264">
          <cell r="C264" t="str">
            <v>Airtime Revenue</v>
          </cell>
        </row>
        <row r="265">
          <cell r="C265" t="str">
            <v>Revenue, mobile traffic, national premium business</v>
          </cell>
          <cell r="D265" t="str">
            <v>000 DM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C266" t="str">
            <v>Revenue, mobile traffic, metro premium business</v>
          </cell>
          <cell r="D266" t="str">
            <v>000 DM</v>
          </cell>
          <cell r="F266">
            <v>245.26355021142246</v>
          </cell>
          <cell r="G266">
            <v>33375.954673716988</v>
          </cell>
          <cell r="H266">
            <v>106198.50370038778</v>
          </cell>
          <cell r="I266">
            <v>217695.52979666219</v>
          </cell>
          <cell r="J266">
            <v>353191.31949512672</v>
          </cell>
          <cell r="K266">
            <v>456871.6986049863</v>
          </cell>
          <cell r="L266">
            <v>504072.74341584701</v>
          </cell>
          <cell r="M266">
            <v>520624.65251426544</v>
          </cell>
          <cell r="N266">
            <v>518749.52988765808</v>
          </cell>
          <cell r="O266">
            <v>510630.65930264571</v>
          </cell>
          <cell r="P266">
            <v>503663.38262854808</v>
          </cell>
        </row>
        <row r="267">
          <cell r="C267" t="str">
            <v>Revenue, mobile traffic, metro</v>
          </cell>
          <cell r="D267" t="str">
            <v>000 DM</v>
          </cell>
          <cell r="F267">
            <v>1097.3851760924556</v>
          </cell>
          <cell r="G267">
            <v>112940.25143097706</v>
          </cell>
          <cell r="H267">
            <v>333236.2638747982</v>
          </cell>
          <cell r="I267">
            <v>613715.92729696294</v>
          </cell>
          <cell r="J267">
            <v>895399.14898808498</v>
          </cell>
          <cell r="K267">
            <v>1096841.5151059853</v>
          </cell>
          <cell r="L267">
            <v>1201604.0205104866</v>
          </cell>
          <cell r="M267">
            <v>1210842.9237572001</v>
          </cell>
          <cell r="N267">
            <v>1197018.0050767353</v>
          </cell>
          <cell r="O267">
            <v>1146606.6922079029</v>
          </cell>
          <cell r="P267">
            <v>1090941.0321893096</v>
          </cell>
        </row>
        <row r="269">
          <cell r="C269" t="str">
            <v>Channel mix</v>
          </cell>
        </row>
        <row r="270">
          <cell r="C270" t="str">
            <v>Shops, VIAG Interkom Business Mobiles</v>
          </cell>
          <cell r="D270" t="str">
            <v>%</v>
          </cell>
          <cell r="F270">
            <v>0.115</v>
          </cell>
          <cell r="G270">
            <v>0.13</v>
          </cell>
          <cell r="H270">
            <v>0.14499999999999999</v>
          </cell>
          <cell r="I270">
            <v>0.16</v>
          </cell>
          <cell r="J270">
            <v>0.17499999999999999</v>
          </cell>
          <cell r="K270">
            <v>0.19</v>
          </cell>
          <cell r="L270">
            <v>0.20499999999999999</v>
          </cell>
          <cell r="M270">
            <v>0.22</v>
          </cell>
          <cell r="N270">
            <v>0.23499999999999999</v>
          </cell>
          <cell r="O270">
            <v>0.25</v>
          </cell>
          <cell r="P270">
            <v>0.26500000000000001</v>
          </cell>
        </row>
        <row r="271">
          <cell r="C271" t="str">
            <v>Shops,  VIAG Interkom Residential Mobiles</v>
          </cell>
          <cell r="D271" t="str">
            <v>%</v>
          </cell>
          <cell r="F271">
            <v>0.115</v>
          </cell>
          <cell r="G271">
            <v>0.13</v>
          </cell>
          <cell r="H271">
            <v>0.14499999999999999</v>
          </cell>
          <cell r="I271">
            <v>0.16</v>
          </cell>
          <cell r="J271">
            <v>0.17499999999999999</v>
          </cell>
          <cell r="K271">
            <v>0.19</v>
          </cell>
          <cell r="L271">
            <v>0.20499999999999999</v>
          </cell>
          <cell r="M271">
            <v>0.22</v>
          </cell>
          <cell r="N271">
            <v>0.23499999999999999</v>
          </cell>
          <cell r="O271">
            <v>0.25</v>
          </cell>
          <cell r="P271">
            <v>0.26500000000000001</v>
          </cell>
        </row>
        <row r="273">
          <cell r="C273" t="str">
            <v>Dealers, VIAG Interkom Business Mobiles</v>
          </cell>
          <cell r="D273" t="str">
            <v>%</v>
          </cell>
          <cell r="F273">
            <v>0.85</v>
          </cell>
          <cell r="G273">
            <v>0.8</v>
          </cell>
          <cell r="H273">
            <v>0.75</v>
          </cell>
          <cell r="I273">
            <v>0.7</v>
          </cell>
          <cell r="J273">
            <v>0.65</v>
          </cell>
          <cell r="K273">
            <v>0.6</v>
          </cell>
          <cell r="L273">
            <v>0.55000000000000004</v>
          </cell>
          <cell r="M273">
            <v>0.5</v>
          </cell>
          <cell r="N273">
            <v>0.45</v>
          </cell>
          <cell r="O273">
            <v>0.4</v>
          </cell>
          <cell r="P273">
            <v>0.35</v>
          </cell>
        </row>
        <row r="274">
          <cell r="C274" t="str">
            <v>Dealers, VIAG Interkom Residential Mobiles</v>
          </cell>
          <cell r="D274" t="str">
            <v>%</v>
          </cell>
          <cell r="F274">
            <v>0.77099999999999991</v>
          </cell>
          <cell r="G274">
            <v>0.70199999999999996</v>
          </cell>
          <cell r="H274">
            <v>0.63300000000000001</v>
          </cell>
          <cell r="I274">
            <v>0.56400000000000006</v>
          </cell>
          <cell r="J274">
            <v>0.495</v>
          </cell>
          <cell r="K274">
            <v>0.42600000000000005</v>
          </cell>
          <cell r="L274">
            <v>0.35700000000000004</v>
          </cell>
          <cell r="M274">
            <v>0.28800000000000003</v>
          </cell>
          <cell r="N274">
            <v>0.21900000000000003</v>
          </cell>
          <cell r="O274">
            <v>0.15</v>
          </cell>
          <cell r="P274">
            <v>8.1000000000000016E-2</v>
          </cell>
        </row>
        <row r="276">
          <cell r="C276" t="str">
            <v>Shops</v>
          </cell>
        </row>
        <row r="277">
          <cell r="C277" t="str">
            <v>Number of Flagship Shops</v>
          </cell>
          <cell r="D277" t="str">
            <v># shops</v>
          </cell>
          <cell r="F277">
            <v>6</v>
          </cell>
          <cell r="G277">
            <v>20</v>
          </cell>
          <cell r="H277">
            <v>30</v>
          </cell>
          <cell r="I277">
            <v>40</v>
          </cell>
          <cell r="J277">
            <v>50</v>
          </cell>
          <cell r="K277">
            <v>60</v>
          </cell>
          <cell r="L277">
            <v>60</v>
          </cell>
          <cell r="M277">
            <v>60</v>
          </cell>
          <cell r="N277">
            <v>60</v>
          </cell>
          <cell r="O277">
            <v>60</v>
          </cell>
          <cell r="P277">
            <v>60</v>
          </cell>
        </row>
        <row r="278">
          <cell r="C278" t="str">
            <v>Mobile Gross Adds Handled Through Flagship Shops</v>
          </cell>
          <cell r="D278" t="str">
            <v>GA/month</v>
          </cell>
          <cell r="E278">
            <v>150</v>
          </cell>
        </row>
        <row r="279">
          <cell r="C279" t="str">
            <v>Mobile Gross Adds Handled Through Classic Shops</v>
          </cell>
          <cell r="D279" t="str">
            <v>GA/month</v>
          </cell>
          <cell r="E279">
            <v>75</v>
          </cell>
        </row>
        <row r="280">
          <cell r="C280" t="str">
            <v>Price trend, Cost per Gross Add</v>
          </cell>
          <cell r="D280" t="str">
            <v>%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C281" t="str">
            <v>Cost per Gross Add - Flagships</v>
          </cell>
          <cell r="D281" t="str">
            <v>DM/Gross Add</v>
          </cell>
          <cell r="E281">
            <v>160</v>
          </cell>
        </row>
        <row r="282">
          <cell r="C282" t="str">
            <v>Cost per Gross Add - Classics</v>
          </cell>
          <cell r="D282" t="str">
            <v>DM/Gross Add</v>
          </cell>
          <cell r="E282">
            <v>212.8</v>
          </cell>
        </row>
        <row r="283">
          <cell r="C283" t="str">
            <v>Price trend, cost "services" (Supporting airtime)</v>
          </cell>
          <cell r="D283" t="str">
            <v>%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C284" t="str">
            <v>Unit cost, 'Services'</v>
          </cell>
          <cell r="D284" t="str">
            <v>DM/cust</v>
          </cell>
          <cell r="E284">
            <v>2.95</v>
          </cell>
        </row>
        <row r="285">
          <cell r="C285" t="str">
            <v>Headcount for Flagship Shops</v>
          </cell>
          <cell r="D285" t="str">
            <v># head/shop</v>
          </cell>
          <cell r="E285">
            <v>4</v>
          </cell>
        </row>
        <row r="286">
          <cell r="C286" t="str">
            <v>Headcount for Classic Shops</v>
          </cell>
          <cell r="D286" t="str">
            <v># head/shop</v>
          </cell>
          <cell r="E286">
            <v>2</v>
          </cell>
        </row>
        <row r="288">
          <cell r="C288" t="str">
            <v>Dealers</v>
          </cell>
        </row>
        <row r="289">
          <cell r="C289" t="str">
            <v>Mobile GA handled through delaers</v>
          </cell>
          <cell r="D289" t="str">
            <v># GA/month</v>
          </cell>
          <cell r="E289">
            <v>75</v>
          </cell>
        </row>
        <row r="290">
          <cell r="C290" t="str">
            <v>Price trend, Deaøer commission per Gross Add</v>
          </cell>
          <cell r="D290" t="str">
            <v>%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C291" t="str">
            <v>Dealer Commission per Gross Add</v>
          </cell>
          <cell r="D291" t="str">
            <v>DM/GA/month</v>
          </cell>
          <cell r="E291">
            <v>75</v>
          </cell>
        </row>
        <row r="293">
          <cell r="C293" t="str">
            <v>Dealer Commission on Airtime Revenues customers</v>
          </cell>
          <cell r="D293" t="str">
            <v>%</v>
          </cell>
          <cell r="G293" t="str">
            <v>Dealer commission</v>
          </cell>
          <cell r="H293">
            <v>0.03</v>
          </cell>
          <cell r="I293">
            <v>3.5000000000000003E-2</v>
          </cell>
          <cell r="J293">
            <v>0.04</v>
          </cell>
          <cell r="K293">
            <v>4.4999999999999998E-2</v>
          </cell>
          <cell r="L293">
            <v>0.05</v>
          </cell>
          <cell r="M293">
            <v>5.5E-2</v>
          </cell>
        </row>
        <row r="294">
          <cell r="C294" t="str">
            <v>Revenue limit per dealer per month customers</v>
          </cell>
          <cell r="D294" t="str">
            <v>000 DM/month</v>
          </cell>
          <cell r="G294" t="str">
            <v>Revenue limit per dealer</v>
          </cell>
          <cell r="H294">
            <v>15</v>
          </cell>
          <cell r="I294">
            <v>16.7</v>
          </cell>
          <cell r="J294">
            <v>33.299999999999997</v>
          </cell>
          <cell r="K294">
            <v>40</v>
          </cell>
          <cell r="L294">
            <v>50</v>
          </cell>
          <cell r="M294">
            <v>80</v>
          </cell>
        </row>
        <row r="296">
          <cell r="C296" t="str">
            <v>Channel cost of airtime</v>
          </cell>
        </row>
        <row r="297">
          <cell r="C297" t="str">
            <v>Price trend, Debt collection and Loyalty programmes</v>
          </cell>
          <cell r="D297" t="str">
            <v>%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C298" t="str">
            <v>Unit cost, Debt Collection</v>
          </cell>
          <cell r="D298" t="str">
            <v>DM/cust</v>
          </cell>
          <cell r="E298">
            <v>2.8160000000000003</v>
          </cell>
        </row>
        <row r="299">
          <cell r="C299" t="str">
            <v>Unit cost, Loyalty Programmes</v>
          </cell>
          <cell r="D299" t="str">
            <v>DM/cust</v>
          </cell>
          <cell r="E299">
            <v>1.4720000000000002</v>
          </cell>
        </row>
        <row r="301">
          <cell r="C301" t="str">
            <v>Cost for customer equipment</v>
          </cell>
        </row>
        <row r="302">
          <cell r="C302" t="str">
            <v>Percentage of Gross adds buying handset from VI</v>
          </cell>
          <cell r="D302" t="str">
            <v>%</v>
          </cell>
          <cell r="F302">
            <v>1</v>
          </cell>
          <cell r="G302">
            <v>1</v>
          </cell>
          <cell r="H302">
            <v>1</v>
          </cell>
          <cell r="I302">
            <v>1</v>
          </cell>
          <cell r="J302">
            <v>1</v>
          </cell>
          <cell r="K302">
            <v>1</v>
          </cell>
          <cell r="L302">
            <v>1</v>
          </cell>
          <cell r="M302">
            <v>1</v>
          </cell>
          <cell r="N302">
            <v>1</v>
          </cell>
          <cell r="O302">
            <v>1</v>
          </cell>
          <cell r="P302">
            <v>1</v>
          </cell>
        </row>
        <row r="303">
          <cell r="C303" t="str">
            <v>Number of months worth of annual gross adds that buy handsets</v>
          </cell>
          <cell r="D303" t="str">
            <v># months</v>
          </cell>
          <cell r="F303">
            <v>2</v>
          </cell>
          <cell r="G303">
            <v>2</v>
          </cell>
          <cell r="H303">
            <v>2</v>
          </cell>
          <cell r="I303">
            <v>2</v>
          </cell>
          <cell r="J303">
            <v>2</v>
          </cell>
          <cell r="K303">
            <v>2</v>
          </cell>
          <cell r="L303">
            <v>2</v>
          </cell>
          <cell r="M303">
            <v>2</v>
          </cell>
          <cell r="N303">
            <v>2</v>
          </cell>
          <cell r="O303">
            <v>2</v>
          </cell>
          <cell r="P303">
            <v>2</v>
          </cell>
        </row>
        <row r="304">
          <cell r="C304" t="str">
            <v>Handset cost</v>
          </cell>
          <cell r="D304" t="str">
            <v>DM/unit</v>
          </cell>
          <cell r="E304">
            <v>350</v>
          </cell>
        </row>
        <row r="305">
          <cell r="C305" t="str">
            <v>Price trend, handset</v>
          </cell>
          <cell r="D305" t="str">
            <v>%</v>
          </cell>
          <cell r="F305">
            <v>0</v>
          </cell>
          <cell r="G305">
            <v>-7.0000000000000007E-2</v>
          </cell>
          <cell r="H305">
            <v>-7.0000000000000007E-2</v>
          </cell>
          <cell r="I305">
            <v>-7.0000000000000007E-2</v>
          </cell>
          <cell r="J305">
            <v>-7.0000000000000007E-2</v>
          </cell>
          <cell r="K305">
            <v>-7.0000000000000007E-2</v>
          </cell>
          <cell r="L305">
            <v>-7.0000000000000007E-2</v>
          </cell>
          <cell r="M305">
            <v>-7.0000000000000007E-2</v>
          </cell>
          <cell r="N305">
            <v>-7.0000000000000007E-2</v>
          </cell>
          <cell r="O305">
            <v>-7.0000000000000007E-2</v>
          </cell>
          <cell r="P305">
            <v>-7.0000000000000007E-2</v>
          </cell>
        </row>
        <row r="307">
          <cell r="C307" t="str">
            <v>Overhead cost (not including dealers)</v>
          </cell>
        </row>
        <row r="308">
          <cell r="C308" t="str">
            <v>Unit cost, Finance</v>
          </cell>
          <cell r="D308" t="str">
            <v>DM/cust</v>
          </cell>
          <cell r="E308">
            <v>3.63</v>
          </cell>
        </row>
        <row r="309">
          <cell r="C309" t="str">
            <v>Unit cost, EDP</v>
          </cell>
          <cell r="D309" t="str">
            <v>DM/cust</v>
          </cell>
          <cell r="E309">
            <v>9.2799999999999994</v>
          </cell>
        </row>
        <row r="310">
          <cell r="C310" t="str">
            <v>Unit cost, Personnel</v>
          </cell>
          <cell r="D310" t="str">
            <v>DM/cust</v>
          </cell>
          <cell r="E310">
            <v>0.95</v>
          </cell>
        </row>
        <row r="311">
          <cell r="C311" t="str">
            <v>Unit cost, Administration</v>
          </cell>
          <cell r="D311" t="str">
            <v>DM/cust</v>
          </cell>
          <cell r="E311">
            <v>1.6</v>
          </cell>
        </row>
        <row r="312">
          <cell r="C312" t="str">
            <v>Unit cost, Facilities</v>
          </cell>
          <cell r="D312" t="str">
            <v>DM/cust</v>
          </cell>
          <cell r="E312">
            <v>7.71</v>
          </cell>
        </row>
        <row r="313">
          <cell r="C313" t="str">
            <v>Price trend, overhead cost</v>
          </cell>
          <cell r="D313" t="str">
            <v>%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1"/>
      <sheetName val="Summary"/>
      <sheetName val="Financial Statement"/>
      <sheetName val="Marketing Assumption HL"/>
      <sheetName val="Forma  VC-R"/>
      <sheetName val="COGS"/>
      <sheetName val="Marketing Assumption"/>
      <sheetName val="Standart Cost Rate"/>
      <sheetName val="Reg_assump"/>
      <sheetName val="Staff"/>
      <sheetName val="S&amp;M"/>
      <sheetName val="Customer Service"/>
      <sheetName val="Technical Support"/>
      <sheetName val="G&amp;A"/>
      <sheetName val="NW RollOut"/>
      <sheetName val="CapEx"/>
      <sheetName val="Working Capital"/>
      <sheetName val="Financing"/>
      <sheetName val="form_VC-R"/>
      <sheetName val="DCF_Forma"/>
      <sheetName val="DCF-10"/>
      <sheetName val="cons_note "/>
      <sheetName val="Financial_Statement"/>
      <sheetName val="Marketing_Assumption_HL"/>
      <sheetName val="Forma__VC-R"/>
      <sheetName val="Marketing_Assumption"/>
      <sheetName val="Standart_Cost_Rate"/>
      <sheetName val="Customer_Service"/>
      <sheetName val="Technical_Support"/>
      <sheetName val="NW_RollOut"/>
      <sheetName val="Working_Capital"/>
      <sheetName val="cons_note_"/>
      <sheetName val="Channels"/>
      <sheetName val="BP_R_0903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ial Statements"/>
      <sheetName val="Marketing Assumption"/>
      <sheetName val="Subscribers"/>
      <sheetName val="Tariff Plans"/>
      <sheetName val="Traffic"/>
      <sheetName val="Revenue"/>
      <sheetName val="COGS"/>
      <sheetName val="Commercial Expenses"/>
      <sheetName val="G&amp;A"/>
      <sheetName val="Working Capital"/>
      <sheetName val="Staff"/>
      <sheetName val="Technical support"/>
      <sheetName val="Financing"/>
      <sheetName val="Capex"/>
      <sheetName val="Roll Out"/>
      <sheetName val="Equipment prices"/>
      <sheetName val="Managed Capacity"/>
      <sheetName val="Financial_Statements"/>
      <sheetName val="Marketing_Assumption"/>
      <sheetName val="Tariff_Plans"/>
      <sheetName val="Commercial_Expenses"/>
      <sheetName val="Working_Capital"/>
      <sheetName val="Technical_support"/>
      <sheetName val="Roll_Out"/>
      <sheetName val="Equipment_prices"/>
      <sheetName val="Managed_Capacity"/>
      <sheetName val="Übersicht"/>
      <sheetName val="Channels"/>
      <sheetName val="BP"/>
      <sheetName val="Standart Cost Rate"/>
      <sheetName val="Marketing Assumption H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2">
          <cell r="B2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>
            <v>1</v>
          </cell>
        </row>
      </sheetData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учение"/>
      <sheetName val="Командировки"/>
      <sheetName val="БЕ"/>
      <sheetName val="Лист5"/>
      <sheetName val="Лист3"/>
      <sheetName val="Графики"/>
    </sheetNames>
    <sheetDataSet>
      <sheetData sheetId="0" refreshError="1"/>
      <sheetData sheetId="1"/>
      <sheetData sheetId="2"/>
      <sheetData sheetId="3">
        <row r="2">
          <cell r="A2" t="str">
            <v>Кафе</v>
          </cell>
        </row>
        <row r="3">
          <cell r="A3" t="str">
            <v>МО Три-З</v>
          </cell>
        </row>
        <row r="4">
          <cell r="A4" t="str">
            <v>Сити-Клиник</v>
          </cell>
        </row>
        <row r="5">
          <cell r="A5" t="str">
            <v>Три-З</v>
          </cell>
        </row>
        <row r="6">
          <cell r="A6" t="str">
            <v>Три-З Ессентуки</v>
          </cell>
        </row>
        <row r="7">
          <cell r="A7" t="str">
            <v>Три-З Пермь</v>
          </cell>
        </row>
        <row r="8">
          <cell r="A8" t="str">
            <v>Фарма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_Consol"/>
      <sheetName val="SAC&amp;CRC"/>
      <sheetName val="T&amp;IT"/>
      <sheetName val="KRD&amp;SCH_Data Sharing"/>
      <sheetName val="плотность продаж"/>
      <sheetName val="MP_Mobile"/>
      <sheetName val="MP_FIX"/>
      <sheetName val="MP_FTTB"/>
      <sheetName val="VAS"/>
      <sheetName val="DealCom Mob by channels"/>
      <sheetName val="%% Роста"/>
      <sheetName val="Charts"/>
      <sheetName val="Support"/>
      <sheetName val="RevAn prev Year"/>
      <sheetName val="RevAn prev Month"/>
      <sheetName val="RevAn vs OL"/>
      <sheetName val="GM Mobile vs OL"/>
      <sheetName val="GM Fixed vs OL"/>
      <sheetName val="OIBDA "/>
      <sheetName val="FC Rev vs OL"/>
      <sheetName val="FC GM Mob vs OL"/>
      <sheetName val="FC GM Fix vs OL"/>
      <sheetName val="FC OIBDA vs 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_Consol"/>
      <sheetName val="SAC&amp;CRC"/>
      <sheetName val="T&amp;IT"/>
      <sheetName val="KRD&amp;SCH_Data Sharing"/>
      <sheetName val="плотность продаж"/>
      <sheetName val="MP_Mobile"/>
      <sheetName val="MP_FIX"/>
      <sheetName val="MP_FTTB"/>
      <sheetName val="VAS"/>
      <sheetName val="DealCom Mob by channels"/>
      <sheetName val="%% Роста"/>
      <sheetName val="Charts"/>
      <sheetName val="Support"/>
      <sheetName val="RevAn prev Year"/>
      <sheetName val="RevAn prev Month"/>
      <sheetName val="RevAn vs OL"/>
      <sheetName val="GM Mobile vs OL"/>
      <sheetName val="GM Fixed vs OL"/>
      <sheetName val="OIBDA "/>
      <sheetName val="FC Rev vs OL"/>
      <sheetName val="FC GM Mob vs OL"/>
      <sheetName val="FC GM Fix vs OL"/>
      <sheetName val="FC OIBDA vs 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Три-З ПРО13" id="{F3A57DD7-61EC-4146-8BF2-3A105D9A06A7}" userId="Три-З ПРО13" providerId="Non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4" dT="2022-04-11T11:37:01.01" personId="{F3A57DD7-61EC-4146-8BF2-3A105D9A06A7}" id="{C62FDFD1-ED27-4B57-85AD-EDDEA94C6936}">
    <text>искл 21М на голову для корр-ого сравнения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5" dT="2022-04-11T11:41:30.18" personId="{F3A57DD7-61EC-4146-8BF2-3A105D9A06A7}" id="{5AE3A802-75CE-4EAB-8848-25D6D62D9B0A}">
    <text>доля канала в 21 году</text>
  </threadedComment>
  <threadedComment ref="C25" dT="2022-04-11T11:43:22.35" personId="{F3A57DD7-61EC-4146-8BF2-3A105D9A06A7}" id="{6A808520-0966-44BD-899A-BF1E372CBDFC}">
    <text>% вознаграждения от выручки 21 год</text>
  </threadedComment>
  <threadedComment ref="C36" dT="2022-03-31T09:29:34.00" personId="{F3A57DD7-61EC-4146-8BF2-3A105D9A06A7}" id="{14293580-CDB8-4322-8D24-D2EFB64C3EB5}">
    <text>Годовое обслуживание эксимерного лазера WaveLight® ЕХ500    260 000руб. плюс 400 000 газовая смесь (стоимость может измениться)
Годовое обслуживание VisuMax минимально 290 000 руб. (судя по тому что Цейз так и не заключают договор на ТО цена может существенно измениться)</text>
  </threadedComment>
  <threadedComment ref="B40" dT="2022-04-11T09:32:01.01" personId="{F3A57DD7-61EC-4146-8BF2-3A105D9A06A7}" id="{B53DFCF8-4C58-466F-890B-6E1A33C062C0}">
    <text>расход на 1 сотрудника в месяц</text>
  </threadedComment>
  <threadedComment ref="B64" dT="2022-03-25T09:10:16.78" personId="{F3A57DD7-61EC-4146-8BF2-3A105D9A06A7}" id="{6EF223C4-7DBD-4762-8E5E-F970166C6E01}">
    <text>резерв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showGridLines="0" topLeftCell="A17" workbookViewId="0">
      <selection activeCell="A3" sqref="A3:L3"/>
    </sheetView>
  </sheetViews>
  <sheetFormatPr defaultColWidth="9.109375" defaultRowHeight="14.4"/>
  <cols>
    <col min="1" max="1" width="7.109375" style="29" customWidth="1"/>
    <col min="2" max="5" width="9.109375" style="29"/>
    <col min="6" max="6" width="12.88671875" style="29" customWidth="1"/>
    <col min="7" max="9" width="10.6640625" style="29" customWidth="1"/>
    <col min="10" max="10" width="11.109375" style="29" customWidth="1"/>
    <col min="11" max="11" width="13.6640625" style="29" customWidth="1"/>
    <col min="12" max="12" width="12" style="29" customWidth="1"/>
    <col min="13" max="16384" width="9.109375" style="29"/>
  </cols>
  <sheetData>
    <row r="1" spans="1:12" ht="29.25" customHeight="1">
      <c r="A1" s="28" t="s">
        <v>122</v>
      </c>
    </row>
    <row r="2" spans="1:12" s="31" customFormat="1" ht="21.75" customHeight="1">
      <c r="A2" s="30" t="s">
        <v>123</v>
      </c>
    </row>
    <row r="3" spans="1:12" s="31" customFormat="1" ht="34.5" customHeight="1">
      <c r="A3" s="698" t="s">
        <v>259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</row>
    <row r="4" spans="1:12" s="31" customFormat="1" ht="21" customHeight="1">
      <c r="A4" s="31" t="s">
        <v>152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s="36" customFormat="1" ht="18.75" customHeight="1">
      <c r="B5" s="36" t="s">
        <v>153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s="36" customFormat="1" ht="18.75" customHeight="1">
      <c r="B6" s="36" t="s">
        <v>154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s="31" customFormat="1" ht="6.75" customHeight="1">
      <c r="B7" s="29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s="31" customFormat="1" ht="21.75" customHeight="1">
      <c r="A8" s="30" t="s">
        <v>124</v>
      </c>
    </row>
    <row r="9" spans="1:12">
      <c r="A9" s="32">
        <v>1</v>
      </c>
      <c r="B9" s="33" t="s">
        <v>126</v>
      </c>
    </row>
    <row r="10" spans="1:12">
      <c r="A10" s="34"/>
      <c r="B10" s="29" t="s">
        <v>155</v>
      </c>
    </row>
    <row r="11" spans="1:12">
      <c r="B11" s="698" t="s">
        <v>127</v>
      </c>
      <c r="C11" s="699"/>
      <c r="D11" s="699"/>
      <c r="E11" s="699"/>
      <c r="F11" s="699"/>
      <c r="G11" s="699"/>
      <c r="H11" s="699"/>
      <c r="I11" s="699"/>
      <c r="J11" s="699"/>
      <c r="K11" s="699"/>
      <c r="L11" s="699"/>
    </row>
    <row r="12" spans="1:12">
      <c r="B12" s="698" t="s">
        <v>125</v>
      </c>
      <c r="C12" s="698"/>
      <c r="D12" s="698"/>
      <c r="E12" s="698"/>
      <c r="F12" s="698"/>
      <c r="G12" s="698"/>
      <c r="H12" s="698"/>
      <c r="I12" s="698"/>
      <c r="J12" s="698"/>
      <c r="K12" s="698"/>
      <c r="L12" s="698"/>
    </row>
    <row r="13" spans="1:12" ht="37.5" customHeight="1">
      <c r="B13" s="698" t="s">
        <v>262</v>
      </c>
      <c r="C13" s="698"/>
      <c r="D13" s="698"/>
      <c r="E13" s="698"/>
      <c r="F13" s="698"/>
      <c r="G13" s="698"/>
      <c r="H13" s="698"/>
      <c r="I13" s="698"/>
      <c r="J13" s="698"/>
      <c r="K13" s="698"/>
      <c r="L13" s="698"/>
    </row>
    <row r="14" spans="1:12">
      <c r="A14" s="32">
        <v>2</v>
      </c>
      <c r="B14" s="33" t="s">
        <v>254</v>
      </c>
    </row>
    <row r="15" spans="1:12" ht="134.25" customHeight="1">
      <c r="B15" s="698" t="s">
        <v>264</v>
      </c>
      <c r="C15" s="699"/>
      <c r="D15" s="699"/>
      <c r="E15" s="699"/>
      <c r="F15" s="699"/>
      <c r="G15" s="699"/>
      <c r="H15" s="699"/>
      <c r="I15" s="699"/>
      <c r="J15" s="699"/>
      <c r="K15" s="699"/>
      <c r="L15" s="699"/>
    </row>
    <row r="16" spans="1:12">
      <c r="A16" s="32">
        <v>3</v>
      </c>
      <c r="B16" s="33" t="s">
        <v>255</v>
      </c>
    </row>
    <row r="17" spans="1:12" ht="72.75" customHeight="1">
      <c r="B17" s="698" t="s">
        <v>257</v>
      </c>
      <c r="C17" s="699"/>
      <c r="D17" s="699"/>
      <c r="E17" s="699"/>
      <c r="F17" s="699"/>
      <c r="G17" s="699"/>
      <c r="H17" s="699"/>
      <c r="I17" s="699"/>
      <c r="J17" s="699"/>
      <c r="K17" s="699"/>
      <c r="L17" s="699"/>
    </row>
    <row r="18" spans="1:12">
      <c r="A18" s="32">
        <v>4</v>
      </c>
      <c r="B18" s="33" t="s">
        <v>256</v>
      </c>
    </row>
    <row r="19" spans="1:12" ht="108.75" customHeight="1">
      <c r="B19" s="698" t="s">
        <v>258</v>
      </c>
      <c r="C19" s="699"/>
      <c r="D19" s="699"/>
      <c r="E19" s="699"/>
      <c r="F19" s="699"/>
      <c r="G19" s="699"/>
      <c r="H19" s="699"/>
      <c r="I19" s="699"/>
      <c r="J19" s="699"/>
      <c r="K19" s="699"/>
      <c r="L19" s="699"/>
    </row>
    <row r="20" spans="1:12">
      <c r="A20" s="32">
        <v>5</v>
      </c>
      <c r="B20" s="249" t="s">
        <v>263</v>
      </c>
      <c r="C20" s="251"/>
      <c r="D20" s="251"/>
      <c r="E20" s="251"/>
      <c r="F20" s="251"/>
      <c r="G20" s="251"/>
      <c r="H20" s="251"/>
      <c r="I20" s="251"/>
      <c r="J20" s="251"/>
      <c r="K20" s="251"/>
      <c r="L20" s="251"/>
    </row>
    <row r="21" spans="1:12" ht="39.75" customHeight="1">
      <c r="B21" s="698" t="s">
        <v>156</v>
      </c>
      <c r="C21" s="699"/>
      <c r="D21" s="699"/>
      <c r="E21" s="699"/>
      <c r="F21" s="699"/>
      <c r="G21" s="699"/>
      <c r="H21" s="699"/>
      <c r="I21" s="699"/>
      <c r="J21" s="699"/>
      <c r="K21" s="699"/>
      <c r="L21" s="699"/>
    </row>
    <row r="22" spans="1:12">
      <c r="A22" s="32">
        <v>6</v>
      </c>
      <c r="B22" s="700" t="s">
        <v>260</v>
      </c>
      <c r="C22" s="700"/>
      <c r="D22" s="700"/>
      <c r="E22" s="700"/>
      <c r="F22" s="700"/>
      <c r="G22" s="700"/>
      <c r="H22" s="700"/>
      <c r="I22" s="700"/>
      <c r="J22" s="700"/>
      <c r="K22" s="700"/>
      <c r="L22" s="700"/>
    </row>
    <row r="23" spans="1:12" ht="66" customHeight="1">
      <c r="B23" s="698" t="s">
        <v>261</v>
      </c>
      <c r="C23" s="698"/>
      <c r="D23" s="698"/>
      <c r="E23" s="698"/>
      <c r="F23" s="698"/>
      <c r="G23" s="698"/>
      <c r="H23" s="698"/>
      <c r="I23" s="698"/>
      <c r="J23" s="698"/>
      <c r="K23" s="698"/>
      <c r="L23" s="698"/>
    </row>
  </sheetData>
  <mergeCells count="10">
    <mergeCell ref="B23:L23"/>
    <mergeCell ref="B22:L22"/>
    <mergeCell ref="B21:L21"/>
    <mergeCell ref="B17:L17"/>
    <mergeCell ref="B12:L12"/>
    <mergeCell ref="B11:L11"/>
    <mergeCell ref="A3:L3"/>
    <mergeCell ref="B15:L15"/>
    <mergeCell ref="B19:L19"/>
    <mergeCell ref="B13:L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U22"/>
  <sheetViews>
    <sheetView showGridLines="0" zoomScale="90" zoomScaleNormal="90" workbookViewId="0">
      <pane xSplit="2" ySplit="4" topLeftCell="C5" activePane="bottomRight" state="frozen"/>
      <selection activeCell="C16" sqref="C16"/>
      <selection pane="topRight" activeCell="C16" sqref="C16"/>
      <selection pane="bottomLeft" activeCell="C16" sqref="C16"/>
      <selection pane="bottomRight" activeCell="A2" sqref="A2"/>
    </sheetView>
  </sheetViews>
  <sheetFormatPr defaultColWidth="8.88671875" defaultRowHeight="14.4" outlineLevelCol="1"/>
  <cols>
    <col min="1" max="1" width="33" style="17" customWidth="1"/>
    <col min="2" max="2" width="22.6640625" style="21" customWidth="1"/>
    <col min="3" max="4" width="13.33203125" style="20" bestFit="1" customWidth="1"/>
    <col min="5" max="5" width="14.33203125" style="20" bestFit="1" customWidth="1"/>
    <col min="6" max="6" width="14.44140625" style="15" customWidth="1"/>
    <col min="7" max="7" width="11.6640625" style="16" bestFit="1" customWidth="1"/>
    <col min="8" max="9" width="14.44140625" style="18" customWidth="1" outlineLevel="1"/>
    <col min="10" max="11" width="14.88671875" style="18" customWidth="1" outlineLevel="1"/>
    <col min="12" max="13" width="13.44140625" style="18" customWidth="1" outlineLevel="1"/>
    <col min="14" max="18" width="12.88671875" style="18" customWidth="1" outlineLevel="1"/>
    <col min="19" max="19" width="16.33203125" style="18" customWidth="1" outlineLevel="1"/>
    <col min="20" max="20" width="16" style="18" customWidth="1" outlineLevel="1"/>
    <col min="21" max="21" width="16.109375" style="18" customWidth="1" outlineLevel="1"/>
    <col min="22" max="22" width="16.6640625" style="18" customWidth="1" outlineLevel="1"/>
    <col min="23" max="23" width="12.88671875" style="18" customWidth="1" outlineLevel="1"/>
    <col min="24" max="25" width="14.33203125" style="18" customWidth="1" outlineLevel="1"/>
    <col min="26" max="26" width="15.33203125" style="18" customWidth="1" outlineLevel="1"/>
    <col min="27" max="27" width="15.44140625" style="18" customWidth="1" outlineLevel="1"/>
    <col min="28" max="28" width="15.33203125" style="18" customWidth="1" outlineLevel="1"/>
    <col min="29" max="29" width="15.6640625" style="18" customWidth="1" outlineLevel="1"/>
    <col min="30" max="30" width="16.44140625" style="18" customWidth="1" outlineLevel="1"/>
    <col min="31" max="31" width="16.88671875" style="18" customWidth="1" outlineLevel="1"/>
    <col min="32" max="35" width="12.88671875" style="18" customWidth="1" outlineLevel="1"/>
    <col min="36" max="43" width="12.88671875" style="19" customWidth="1" outlineLevel="1"/>
    <col min="44" max="44" width="9.33203125" style="16" bestFit="1" customWidth="1"/>
    <col min="45" max="45" width="9.88671875" style="16" bestFit="1" customWidth="1"/>
    <col min="46" max="257" width="9.109375" style="4"/>
    <col min="258" max="258" width="9.109375" style="4" customWidth="1"/>
    <col min="259" max="259" width="29.6640625" style="4" customWidth="1"/>
    <col min="260" max="261" width="12.88671875" style="4" customWidth="1"/>
    <col min="262" max="262" width="13.88671875" style="4" bestFit="1" customWidth="1"/>
    <col min="263" max="267" width="12.109375" style="4" bestFit="1" customWidth="1"/>
    <col min="268" max="272" width="12.88671875" style="4" bestFit="1" customWidth="1"/>
    <col min="273" max="273" width="13.109375" style="4" bestFit="1" customWidth="1"/>
    <col min="274" max="293" width="12.88671875" style="4" bestFit="1" customWidth="1"/>
    <col min="294" max="295" width="13.109375" style="4" bestFit="1" customWidth="1"/>
    <col min="296" max="296" width="11.109375" style="4" customWidth="1"/>
    <col min="297" max="297" width="13.44140625" style="4" bestFit="1" customWidth="1"/>
    <col min="298" max="513" width="9.109375" style="4"/>
    <col min="514" max="514" width="9.109375" style="4" customWidth="1"/>
    <col min="515" max="515" width="29.6640625" style="4" customWidth="1"/>
    <col min="516" max="517" width="12.88671875" style="4" customWidth="1"/>
    <col min="518" max="518" width="13.88671875" style="4" bestFit="1" customWidth="1"/>
    <col min="519" max="523" width="12.109375" style="4" bestFit="1" customWidth="1"/>
    <col min="524" max="528" width="12.88671875" style="4" bestFit="1" customWidth="1"/>
    <col min="529" max="529" width="13.109375" style="4" bestFit="1" customWidth="1"/>
    <col min="530" max="549" width="12.88671875" style="4" bestFit="1" customWidth="1"/>
    <col min="550" max="551" width="13.109375" style="4" bestFit="1" customWidth="1"/>
    <col min="552" max="552" width="11.109375" style="4" customWidth="1"/>
    <col min="553" max="553" width="13.44140625" style="4" bestFit="1" customWidth="1"/>
    <col min="554" max="769" width="9.109375" style="4"/>
    <col min="770" max="770" width="9.109375" style="4" customWidth="1"/>
    <col min="771" max="771" width="29.6640625" style="4" customWidth="1"/>
    <col min="772" max="773" width="12.88671875" style="4" customWidth="1"/>
    <col min="774" max="774" width="13.88671875" style="4" bestFit="1" customWidth="1"/>
    <col min="775" max="779" width="12.109375" style="4" bestFit="1" customWidth="1"/>
    <col min="780" max="784" width="12.88671875" style="4" bestFit="1" customWidth="1"/>
    <col min="785" max="785" width="13.109375" style="4" bestFit="1" customWidth="1"/>
    <col min="786" max="805" width="12.88671875" style="4" bestFit="1" customWidth="1"/>
    <col min="806" max="807" width="13.109375" style="4" bestFit="1" customWidth="1"/>
    <col min="808" max="808" width="11.109375" style="4" customWidth="1"/>
    <col min="809" max="809" width="13.44140625" style="4" bestFit="1" customWidth="1"/>
    <col min="810" max="1025" width="9.109375" style="4"/>
    <col min="1026" max="1026" width="9.109375" style="4" customWidth="1"/>
    <col min="1027" max="1027" width="29.6640625" style="4" customWidth="1"/>
    <col min="1028" max="1029" width="12.88671875" style="4" customWidth="1"/>
    <col min="1030" max="1030" width="13.88671875" style="4" bestFit="1" customWidth="1"/>
    <col min="1031" max="1035" width="12.109375" style="4" bestFit="1" customWidth="1"/>
    <col min="1036" max="1040" width="12.88671875" style="4" bestFit="1" customWidth="1"/>
    <col min="1041" max="1041" width="13.109375" style="4" bestFit="1" customWidth="1"/>
    <col min="1042" max="1061" width="12.88671875" style="4" bestFit="1" customWidth="1"/>
    <col min="1062" max="1063" width="13.109375" style="4" bestFit="1" customWidth="1"/>
    <col min="1064" max="1064" width="11.109375" style="4" customWidth="1"/>
    <col min="1065" max="1065" width="13.44140625" style="4" bestFit="1" customWidth="1"/>
    <col min="1066" max="1281" width="9.109375" style="4"/>
    <col min="1282" max="1282" width="9.109375" style="4" customWidth="1"/>
    <col min="1283" max="1283" width="29.6640625" style="4" customWidth="1"/>
    <col min="1284" max="1285" width="12.88671875" style="4" customWidth="1"/>
    <col min="1286" max="1286" width="13.88671875" style="4" bestFit="1" customWidth="1"/>
    <col min="1287" max="1291" width="12.109375" style="4" bestFit="1" customWidth="1"/>
    <col min="1292" max="1296" width="12.88671875" style="4" bestFit="1" customWidth="1"/>
    <col min="1297" max="1297" width="13.109375" style="4" bestFit="1" customWidth="1"/>
    <col min="1298" max="1317" width="12.88671875" style="4" bestFit="1" customWidth="1"/>
    <col min="1318" max="1319" width="13.109375" style="4" bestFit="1" customWidth="1"/>
    <col min="1320" max="1320" width="11.109375" style="4" customWidth="1"/>
    <col min="1321" max="1321" width="13.44140625" style="4" bestFit="1" customWidth="1"/>
    <col min="1322" max="1537" width="9.109375" style="4"/>
    <col min="1538" max="1538" width="9.109375" style="4" customWidth="1"/>
    <col min="1539" max="1539" width="29.6640625" style="4" customWidth="1"/>
    <col min="1540" max="1541" width="12.88671875" style="4" customWidth="1"/>
    <col min="1542" max="1542" width="13.88671875" style="4" bestFit="1" customWidth="1"/>
    <col min="1543" max="1547" width="12.109375" style="4" bestFit="1" customWidth="1"/>
    <col min="1548" max="1552" width="12.88671875" style="4" bestFit="1" customWidth="1"/>
    <col min="1553" max="1553" width="13.109375" style="4" bestFit="1" customWidth="1"/>
    <col min="1554" max="1573" width="12.88671875" style="4" bestFit="1" customWidth="1"/>
    <col min="1574" max="1575" width="13.109375" style="4" bestFit="1" customWidth="1"/>
    <col min="1576" max="1576" width="11.109375" style="4" customWidth="1"/>
    <col min="1577" max="1577" width="13.44140625" style="4" bestFit="1" customWidth="1"/>
    <col min="1578" max="1793" width="9.109375" style="4"/>
    <col min="1794" max="1794" width="9.109375" style="4" customWidth="1"/>
    <col min="1795" max="1795" width="29.6640625" style="4" customWidth="1"/>
    <col min="1796" max="1797" width="12.88671875" style="4" customWidth="1"/>
    <col min="1798" max="1798" width="13.88671875" style="4" bestFit="1" customWidth="1"/>
    <col min="1799" max="1803" width="12.109375" style="4" bestFit="1" customWidth="1"/>
    <col min="1804" max="1808" width="12.88671875" style="4" bestFit="1" customWidth="1"/>
    <col min="1809" max="1809" width="13.109375" style="4" bestFit="1" customWidth="1"/>
    <col min="1810" max="1829" width="12.88671875" style="4" bestFit="1" customWidth="1"/>
    <col min="1830" max="1831" width="13.109375" style="4" bestFit="1" customWidth="1"/>
    <col min="1832" max="1832" width="11.109375" style="4" customWidth="1"/>
    <col min="1833" max="1833" width="13.44140625" style="4" bestFit="1" customWidth="1"/>
    <col min="1834" max="2049" width="9.109375" style="4"/>
    <col min="2050" max="2050" width="9.109375" style="4" customWidth="1"/>
    <col min="2051" max="2051" width="29.6640625" style="4" customWidth="1"/>
    <col min="2052" max="2053" width="12.88671875" style="4" customWidth="1"/>
    <col min="2054" max="2054" width="13.88671875" style="4" bestFit="1" customWidth="1"/>
    <col min="2055" max="2059" width="12.109375" style="4" bestFit="1" customWidth="1"/>
    <col min="2060" max="2064" width="12.88671875" style="4" bestFit="1" customWidth="1"/>
    <col min="2065" max="2065" width="13.109375" style="4" bestFit="1" customWidth="1"/>
    <col min="2066" max="2085" width="12.88671875" style="4" bestFit="1" customWidth="1"/>
    <col min="2086" max="2087" width="13.109375" style="4" bestFit="1" customWidth="1"/>
    <col min="2088" max="2088" width="11.109375" style="4" customWidth="1"/>
    <col min="2089" max="2089" width="13.44140625" style="4" bestFit="1" customWidth="1"/>
    <col min="2090" max="2305" width="9.109375" style="4"/>
    <col min="2306" max="2306" width="9.109375" style="4" customWidth="1"/>
    <col min="2307" max="2307" width="29.6640625" style="4" customWidth="1"/>
    <col min="2308" max="2309" width="12.88671875" style="4" customWidth="1"/>
    <col min="2310" max="2310" width="13.88671875" style="4" bestFit="1" customWidth="1"/>
    <col min="2311" max="2315" width="12.109375" style="4" bestFit="1" customWidth="1"/>
    <col min="2316" max="2320" width="12.88671875" style="4" bestFit="1" customWidth="1"/>
    <col min="2321" max="2321" width="13.109375" style="4" bestFit="1" customWidth="1"/>
    <col min="2322" max="2341" width="12.88671875" style="4" bestFit="1" customWidth="1"/>
    <col min="2342" max="2343" width="13.109375" style="4" bestFit="1" customWidth="1"/>
    <col min="2344" max="2344" width="11.109375" style="4" customWidth="1"/>
    <col min="2345" max="2345" width="13.44140625" style="4" bestFit="1" customWidth="1"/>
    <col min="2346" max="2561" width="9.109375" style="4"/>
    <col min="2562" max="2562" width="9.109375" style="4" customWidth="1"/>
    <col min="2563" max="2563" width="29.6640625" style="4" customWidth="1"/>
    <col min="2564" max="2565" width="12.88671875" style="4" customWidth="1"/>
    <col min="2566" max="2566" width="13.88671875" style="4" bestFit="1" customWidth="1"/>
    <col min="2567" max="2571" width="12.109375" style="4" bestFit="1" customWidth="1"/>
    <col min="2572" max="2576" width="12.88671875" style="4" bestFit="1" customWidth="1"/>
    <col min="2577" max="2577" width="13.109375" style="4" bestFit="1" customWidth="1"/>
    <col min="2578" max="2597" width="12.88671875" style="4" bestFit="1" customWidth="1"/>
    <col min="2598" max="2599" width="13.109375" style="4" bestFit="1" customWidth="1"/>
    <col min="2600" max="2600" width="11.109375" style="4" customWidth="1"/>
    <col min="2601" max="2601" width="13.44140625" style="4" bestFit="1" customWidth="1"/>
    <col min="2602" max="2817" width="9.109375" style="4"/>
    <col min="2818" max="2818" width="9.109375" style="4" customWidth="1"/>
    <col min="2819" max="2819" width="29.6640625" style="4" customWidth="1"/>
    <col min="2820" max="2821" width="12.88671875" style="4" customWidth="1"/>
    <col min="2822" max="2822" width="13.88671875" style="4" bestFit="1" customWidth="1"/>
    <col min="2823" max="2827" width="12.109375" style="4" bestFit="1" customWidth="1"/>
    <col min="2828" max="2832" width="12.88671875" style="4" bestFit="1" customWidth="1"/>
    <col min="2833" max="2833" width="13.109375" style="4" bestFit="1" customWidth="1"/>
    <col min="2834" max="2853" width="12.88671875" style="4" bestFit="1" customWidth="1"/>
    <col min="2854" max="2855" width="13.109375" style="4" bestFit="1" customWidth="1"/>
    <col min="2856" max="2856" width="11.109375" style="4" customWidth="1"/>
    <col min="2857" max="2857" width="13.44140625" style="4" bestFit="1" customWidth="1"/>
    <col min="2858" max="3073" width="9.109375" style="4"/>
    <col min="3074" max="3074" width="9.109375" style="4" customWidth="1"/>
    <col min="3075" max="3075" width="29.6640625" style="4" customWidth="1"/>
    <col min="3076" max="3077" width="12.88671875" style="4" customWidth="1"/>
    <col min="3078" max="3078" width="13.88671875" style="4" bestFit="1" customWidth="1"/>
    <col min="3079" max="3083" width="12.109375" style="4" bestFit="1" customWidth="1"/>
    <col min="3084" max="3088" width="12.88671875" style="4" bestFit="1" customWidth="1"/>
    <col min="3089" max="3089" width="13.109375" style="4" bestFit="1" customWidth="1"/>
    <col min="3090" max="3109" width="12.88671875" style="4" bestFit="1" customWidth="1"/>
    <col min="3110" max="3111" width="13.109375" style="4" bestFit="1" customWidth="1"/>
    <col min="3112" max="3112" width="11.109375" style="4" customWidth="1"/>
    <col min="3113" max="3113" width="13.44140625" style="4" bestFit="1" customWidth="1"/>
    <col min="3114" max="3329" width="9.109375" style="4"/>
    <col min="3330" max="3330" width="9.109375" style="4" customWidth="1"/>
    <col min="3331" max="3331" width="29.6640625" style="4" customWidth="1"/>
    <col min="3332" max="3333" width="12.88671875" style="4" customWidth="1"/>
    <col min="3334" max="3334" width="13.88671875" style="4" bestFit="1" customWidth="1"/>
    <col min="3335" max="3339" width="12.109375" style="4" bestFit="1" customWidth="1"/>
    <col min="3340" max="3344" width="12.88671875" style="4" bestFit="1" customWidth="1"/>
    <col min="3345" max="3345" width="13.109375" style="4" bestFit="1" customWidth="1"/>
    <col min="3346" max="3365" width="12.88671875" style="4" bestFit="1" customWidth="1"/>
    <col min="3366" max="3367" width="13.109375" style="4" bestFit="1" customWidth="1"/>
    <col min="3368" max="3368" width="11.109375" style="4" customWidth="1"/>
    <col min="3369" max="3369" width="13.44140625" style="4" bestFit="1" customWidth="1"/>
    <col min="3370" max="3585" width="9.109375" style="4"/>
    <col min="3586" max="3586" width="9.109375" style="4" customWidth="1"/>
    <col min="3587" max="3587" width="29.6640625" style="4" customWidth="1"/>
    <col min="3588" max="3589" width="12.88671875" style="4" customWidth="1"/>
    <col min="3590" max="3590" width="13.88671875" style="4" bestFit="1" customWidth="1"/>
    <col min="3591" max="3595" width="12.109375" style="4" bestFit="1" customWidth="1"/>
    <col min="3596" max="3600" width="12.88671875" style="4" bestFit="1" customWidth="1"/>
    <col min="3601" max="3601" width="13.109375" style="4" bestFit="1" customWidth="1"/>
    <col min="3602" max="3621" width="12.88671875" style="4" bestFit="1" customWidth="1"/>
    <col min="3622" max="3623" width="13.109375" style="4" bestFit="1" customWidth="1"/>
    <col min="3624" max="3624" width="11.109375" style="4" customWidth="1"/>
    <col min="3625" max="3625" width="13.44140625" style="4" bestFit="1" customWidth="1"/>
    <col min="3626" max="3841" width="9.109375" style="4"/>
    <col min="3842" max="3842" width="9.109375" style="4" customWidth="1"/>
    <col min="3843" max="3843" width="29.6640625" style="4" customWidth="1"/>
    <col min="3844" max="3845" width="12.88671875" style="4" customWidth="1"/>
    <col min="3846" max="3846" width="13.88671875" style="4" bestFit="1" customWidth="1"/>
    <col min="3847" max="3851" width="12.109375" style="4" bestFit="1" customWidth="1"/>
    <col min="3852" max="3856" width="12.88671875" style="4" bestFit="1" customWidth="1"/>
    <col min="3857" max="3857" width="13.109375" style="4" bestFit="1" customWidth="1"/>
    <col min="3858" max="3877" width="12.88671875" style="4" bestFit="1" customWidth="1"/>
    <col min="3878" max="3879" width="13.109375" style="4" bestFit="1" customWidth="1"/>
    <col min="3880" max="3880" width="11.109375" style="4" customWidth="1"/>
    <col min="3881" max="3881" width="13.44140625" style="4" bestFit="1" customWidth="1"/>
    <col min="3882" max="4097" width="9.109375" style="4"/>
    <col min="4098" max="4098" width="9.109375" style="4" customWidth="1"/>
    <col min="4099" max="4099" width="29.6640625" style="4" customWidth="1"/>
    <col min="4100" max="4101" width="12.88671875" style="4" customWidth="1"/>
    <col min="4102" max="4102" width="13.88671875" style="4" bestFit="1" customWidth="1"/>
    <col min="4103" max="4107" width="12.109375" style="4" bestFit="1" customWidth="1"/>
    <col min="4108" max="4112" width="12.88671875" style="4" bestFit="1" customWidth="1"/>
    <col min="4113" max="4113" width="13.109375" style="4" bestFit="1" customWidth="1"/>
    <col min="4114" max="4133" width="12.88671875" style="4" bestFit="1" customWidth="1"/>
    <col min="4134" max="4135" width="13.109375" style="4" bestFit="1" customWidth="1"/>
    <col min="4136" max="4136" width="11.109375" style="4" customWidth="1"/>
    <col min="4137" max="4137" width="13.44140625" style="4" bestFit="1" customWidth="1"/>
    <col min="4138" max="4353" width="9.109375" style="4"/>
    <col min="4354" max="4354" width="9.109375" style="4" customWidth="1"/>
    <col min="4355" max="4355" width="29.6640625" style="4" customWidth="1"/>
    <col min="4356" max="4357" width="12.88671875" style="4" customWidth="1"/>
    <col min="4358" max="4358" width="13.88671875" style="4" bestFit="1" customWidth="1"/>
    <col min="4359" max="4363" width="12.109375" style="4" bestFit="1" customWidth="1"/>
    <col min="4364" max="4368" width="12.88671875" style="4" bestFit="1" customWidth="1"/>
    <col min="4369" max="4369" width="13.109375" style="4" bestFit="1" customWidth="1"/>
    <col min="4370" max="4389" width="12.88671875" style="4" bestFit="1" customWidth="1"/>
    <col min="4390" max="4391" width="13.109375" style="4" bestFit="1" customWidth="1"/>
    <col min="4392" max="4392" width="11.109375" style="4" customWidth="1"/>
    <col min="4393" max="4393" width="13.44140625" style="4" bestFit="1" customWidth="1"/>
    <col min="4394" max="4609" width="9.109375" style="4"/>
    <col min="4610" max="4610" width="9.109375" style="4" customWidth="1"/>
    <col min="4611" max="4611" width="29.6640625" style="4" customWidth="1"/>
    <col min="4612" max="4613" width="12.88671875" style="4" customWidth="1"/>
    <col min="4614" max="4614" width="13.88671875" style="4" bestFit="1" customWidth="1"/>
    <col min="4615" max="4619" width="12.109375" style="4" bestFit="1" customWidth="1"/>
    <col min="4620" max="4624" width="12.88671875" style="4" bestFit="1" customWidth="1"/>
    <col min="4625" max="4625" width="13.109375" style="4" bestFit="1" customWidth="1"/>
    <col min="4626" max="4645" width="12.88671875" style="4" bestFit="1" customWidth="1"/>
    <col min="4646" max="4647" width="13.109375" style="4" bestFit="1" customWidth="1"/>
    <col min="4648" max="4648" width="11.109375" style="4" customWidth="1"/>
    <col min="4649" max="4649" width="13.44140625" style="4" bestFit="1" customWidth="1"/>
    <col min="4650" max="4865" width="9.109375" style="4"/>
    <col min="4866" max="4866" width="9.109375" style="4" customWidth="1"/>
    <col min="4867" max="4867" width="29.6640625" style="4" customWidth="1"/>
    <col min="4868" max="4869" width="12.88671875" style="4" customWidth="1"/>
    <col min="4870" max="4870" width="13.88671875" style="4" bestFit="1" customWidth="1"/>
    <col min="4871" max="4875" width="12.109375" style="4" bestFit="1" customWidth="1"/>
    <col min="4876" max="4880" width="12.88671875" style="4" bestFit="1" customWidth="1"/>
    <col min="4881" max="4881" width="13.109375" style="4" bestFit="1" customWidth="1"/>
    <col min="4882" max="4901" width="12.88671875" style="4" bestFit="1" customWidth="1"/>
    <col min="4902" max="4903" width="13.109375" style="4" bestFit="1" customWidth="1"/>
    <col min="4904" max="4904" width="11.109375" style="4" customWidth="1"/>
    <col min="4905" max="4905" width="13.44140625" style="4" bestFit="1" customWidth="1"/>
    <col min="4906" max="5121" width="9.109375" style="4"/>
    <col min="5122" max="5122" width="9.109375" style="4" customWidth="1"/>
    <col min="5123" max="5123" width="29.6640625" style="4" customWidth="1"/>
    <col min="5124" max="5125" width="12.88671875" style="4" customWidth="1"/>
    <col min="5126" max="5126" width="13.88671875" style="4" bestFit="1" customWidth="1"/>
    <col min="5127" max="5131" width="12.109375" style="4" bestFit="1" customWidth="1"/>
    <col min="5132" max="5136" width="12.88671875" style="4" bestFit="1" customWidth="1"/>
    <col min="5137" max="5137" width="13.109375" style="4" bestFit="1" customWidth="1"/>
    <col min="5138" max="5157" width="12.88671875" style="4" bestFit="1" customWidth="1"/>
    <col min="5158" max="5159" width="13.109375" style="4" bestFit="1" customWidth="1"/>
    <col min="5160" max="5160" width="11.109375" style="4" customWidth="1"/>
    <col min="5161" max="5161" width="13.44140625" style="4" bestFit="1" customWidth="1"/>
    <col min="5162" max="5377" width="9.109375" style="4"/>
    <col min="5378" max="5378" width="9.109375" style="4" customWidth="1"/>
    <col min="5379" max="5379" width="29.6640625" style="4" customWidth="1"/>
    <col min="5380" max="5381" width="12.88671875" style="4" customWidth="1"/>
    <col min="5382" max="5382" width="13.88671875" style="4" bestFit="1" customWidth="1"/>
    <col min="5383" max="5387" width="12.109375" style="4" bestFit="1" customWidth="1"/>
    <col min="5388" max="5392" width="12.88671875" style="4" bestFit="1" customWidth="1"/>
    <col min="5393" max="5393" width="13.109375" style="4" bestFit="1" customWidth="1"/>
    <col min="5394" max="5413" width="12.88671875" style="4" bestFit="1" customWidth="1"/>
    <col min="5414" max="5415" width="13.109375" style="4" bestFit="1" customWidth="1"/>
    <col min="5416" max="5416" width="11.109375" style="4" customWidth="1"/>
    <col min="5417" max="5417" width="13.44140625" style="4" bestFit="1" customWidth="1"/>
    <col min="5418" max="5633" width="9.109375" style="4"/>
    <col min="5634" max="5634" width="9.109375" style="4" customWidth="1"/>
    <col min="5635" max="5635" width="29.6640625" style="4" customWidth="1"/>
    <col min="5636" max="5637" width="12.88671875" style="4" customWidth="1"/>
    <col min="5638" max="5638" width="13.88671875" style="4" bestFit="1" customWidth="1"/>
    <col min="5639" max="5643" width="12.109375" style="4" bestFit="1" customWidth="1"/>
    <col min="5644" max="5648" width="12.88671875" style="4" bestFit="1" customWidth="1"/>
    <col min="5649" max="5649" width="13.109375" style="4" bestFit="1" customWidth="1"/>
    <col min="5650" max="5669" width="12.88671875" style="4" bestFit="1" customWidth="1"/>
    <col min="5670" max="5671" width="13.109375" style="4" bestFit="1" customWidth="1"/>
    <col min="5672" max="5672" width="11.109375" style="4" customWidth="1"/>
    <col min="5673" max="5673" width="13.44140625" style="4" bestFit="1" customWidth="1"/>
    <col min="5674" max="5889" width="9.109375" style="4"/>
    <col min="5890" max="5890" width="9.109375" style="4" customWidth="1"/>
    <col min="5891" max="5891" width="29.6640625" style="4" customWidth="1"/>
    <col min="5892" max="5893" width="12.88671875" style="4" customWidth="1"/>
    <col min="5894" max="5894" width="13.88671875" style="4" bestFit="1" customWidth="1"/>
    <col min="5895" max="5899" width="12.109375" style="4" bestFit="1" customWidth="1"/>
    <col min="5900" max="5904" width="12.88671875" style="4" bestFit="1" customWidth="1"/>
    <col min="5905" max="5905" width="13.109375" style="4" bestFit="1" customWidth="1"/>
    <col min="5906" max="5925" width="12.88671875" style="4" bestFit="1" customWidth="1"/>
    <col min="5926" max="5927" width="13.109375" style="4" bestFit="1" customWidth="1"/>
    <col min="5928" max="5928" width="11.109375" style="4" customWidth="1"/>
    <col min="5929" max="5929" width="13.44140625" style="4" bestFit="1" customWidth="1"/>
    <col min="5930" max="6145" width="9.109375" style="4"/>
    <col min="6146" max="6146" width="9.109375" style="4" customWidth="1"/>
    <col min="6147" max="6147" width="29.6640625" style="4" customWidth="1"/>
    <col min="6148" max="6149" width="12.88671875" style="4" customWidth="1"/>
    <col min="6150" max="6150" width="13.88671875" style="4" bestFit="1" customWidth="1"/>
    <col min="6151" max="6155" width="12.109375" style="4" bestFit="1" customWidth="1"/>
    <col min="6156" max="6160" width="12.88671875" style="4" bestFit="1" customWidth="1"/>
    <col min="6161" max="6161" width="13.109375" style="4" bestFit="1" customWidth="1"/>
    <col min="6162" max="6181" width="12.88671875" style="4" bestFit="1" customWidth="1"/>
    <col min="6182" max="6183" width="13.109375" style="4" bestFit="1" customWidth="1"/>
    <col min="6184" max="6184" width="11.109375" style="4" customWidth="1"/>
    <col min="6185" max="6185" width="13.44140625" style="4" bestFit="1" customWidth="1"/>
    <col min="6186" max="6401" width="9.109375" style="4"/>
    <col min="6402" max="6402" width="9.109375" style="4" customWidth="1"/>
    <col min="6403" max="6403" width="29.6640625" style="4" customWidth="1"/>
    <col min="6404" max="6405" width="12.88671875" style="4" customWidth="1"/>
    <col min="6406" max="6406" width="13.88671875" style="4" bestFit="1" customWidth="1"/>
    <col min="6407" max="6411" width="12.109375" style="4" bestFit="1" customWidth="1"/>
    <col min="6412" max="6416" width="12.88671875" style="4" bestFit="1" customWidth="1"/>
    <col min="6417" max="6417" width="13.109375" style="4" bestFit="1" customWidth="1"/>
    <col min="6418" max="6437" width="12.88671875" style="4" bestFit="1" customWidth="1"/>
    <col min="6438" max="6439" width="13.109375" style="4" bestFit="1" customWidth="1"/>
    <col min="6440" max="6440" width="11.109375" style="4" customWidth="1"/>
    <col min="6441" max="6441" width="13.44140625" style="4" bestFit="1" customWidth="1"/>
    <col min="6442" max="6657" width="9.109375" style="4"/>
    <col min="6658" max="6658" width="9.109375" style="4" customWidth="1"/>
    <col min="6659" max="6659" width="29.6640625" style="4" customWidth="1"/>
    <col min="6660" max="6661" width="12.88671875" style="4" customWidth="1"/>
    <col min="6662" max="6662" width="13.88671875" style="4" bestFit="1" customWidth="1"/>
    <col min="6663" max="6667" width="12.109375" style="4" bestFit="1" customWidth="1"/>
    <col min="6668" max="6672" width="12.88671875" style="4" bestFit="1" customWidth="1"/>
    <col min="6673" max="6673" width="13.109375" style="4" bestFit="1" customWidth="1"/>
    <col min="6674" max="6693" width="12.88671875" style="4" bestFit="1" customWidth="1"/>
    <col min="6694" max="6695" width="13.109375" style="4" bestFit="1" customWidth="1"/>
    <col min="6696" max="6696" width="11.109375" style="4" customWidth="1"/>
    <col min="6697" max="6697" width="13.44140625" style="4" bestFit="1" customWidth="1"/>
    <col min="6698" max="6913" width="9.109375" style="4"/>
    <col min="6914" max="6914" width="9.109375" style="4" customWidth="1"/>
    <col min="6915" max="6915" width="29.6640625" style="4" customWidth="1"/>
    <col min="6916" max="6917" width="12.88671875" style="4" customWidth="1"/>
    <col min="6918" max="6918" width="13.88671875" style="4" bestFit="1" customWidth="1"/>
    <col min="6919" max="6923" width="12.109375" style="4" bestFit="1" customWidth="1"/>
    <col min="6924" max="6928" width="12.88671875" style="4" bestFit="1" customWidth="1"/>
    <col min="6929" max="6929" width="13.109375" style="4" bestFit="1" customWidth="1"/>
    <col min="6930" max="6949" width="12.88671875" style="4" bestFit="1" customWidth="1"/>
    <col min="6950" max="6951" width="13.109375" style="4" bestFit="1" customWidth="1"/>
    <col min="6952" max="6952" width="11.109375" style="4" customWidth="1"/>
    <col min="6953" max="6953" width="13.44140625" style="4" bestFit="1" customWidth="1"/>
    <col min="6954" max="7169" width="9.109375" style="4"/>
    <col min="7170" max="7170" width="9.109375" style="4" customWidth="1"/>
    <col min="7171" max="7171" width="29.6640625" style="4" customWidth="1"/>
    <col min="7172" max="7173" width="12.88671875" style="4" customWidth="1"/>
    <col min="7174" max="7174" width="13.88671875" style="4" bestFit="1" customWidth="1"/>
    <col min="7175" max="7179" width="12.109375" style="4" bestFit="1" customWidth="1"/>
    <col min="7180" max="7184" width="12.88671875" style="4" bestFit="1" customWidth="1"/>
    <col min="7185" max="7185" width="13.109375" style="4" bestFit="1" customWidth="1"/>
    <col min="7186" max="7205" width="12.88671875" style="4" bestFit="1" customWidth="1"/>
    <col min="7206" max="7207" width="13.109375" style="4" bestFit="1" customWidth="1"/>
    <col min="7208" max="7208" width="11.109375" style="4" customWidth="1"/>
    <col min="7209" max="7209" width="13.44140625" style="4" bestFit="1" customWidth="1"/>
    <col min="7210" max="7425" width="9.109375" style="4"/>
    <col min="7426" max="7426" width="9.109375" style="4" customWidth="1"/>
    <col min="7427" max="7427" width="29.6640625" style="4" customWidth="1"/>
    <col min="7428" max="7429" width="12.88671875" style="4" customWidth="1"/>
    <col min="7430" max="7430" width="13.88671875" style="4" bestFit="1" customWidth="1"/>
    <col min="7431" max="7435" width="12.109375" style="4" bestFit="1" customWidth="1"/>
    <col min="7436" max="7440" width="12.88671875" style="4" bestFit="1" customWidth="1"/>
    <col min="7441" max="7441" width="13.109375" style="4" bestFit="1" customWidth="1"/>
    <col min="7442" max="7461" width="12.88671875" style="4" bestFit="1" customWidth="1"/>
    <col min="7462" max="7463" width="13.109375" style="4" bestFit="1" customWidth="1"/>
    <col min="7464" max="7464" width="11.109375" style="4" customWidth="1"/>
    <col min="7465" max="7465" width="13.44140625" style="4" bestFit="1" customWidth="1"/>
    <col min="7466" max="7681" width="9.109375" style="4"/>
    <col min="7682" max="7682" width="9.109375" style="4" customWidth="1"/>
    <col min="7683" max="7683" width="29.6640625" style="4" customWidth="1"/>
    <col min="7684" max="7685" width="12.88671875" style="4" customWidth="1"/>
    <col min="7686" max="7686" width="13.88671875" style="4" bestFit="1" customWidth="1"/>
    <col min="7687" max="7691" width="12.109375" style="4" bestFit="1" customWidth="1"/>
    <col min="7692" max="7696" width="12.88671875" style="4" bestFit="1" customWidth="1"/>
    <col min="7697" max="7697" width="13.109375" style="4" bestFit="1" customWidth="1"/>
    <col min="7698" max="7717" width="12.88671875" style="4" bestFit="1" customWidth="1"/>
    <col min="7718" max="7719" width="13.109375" style="4" bestFit="1" customWidth="1"/>
    <col min="7720" max="7720" width="11.109375" style="4" customWidth="1"/>
    <col min="7721" max="7721" width="13.44140625" style="4" bestFit="1" customWidth="1"/>
    <col min="7722" max="7937" width="9.109375" style="4"/>
    <col min="7938" max="7938" width="9.109375" style="4" customWidth="1"/>
    <col min="7939" max="7939" width="29.6640625" style="4" customWidth="1"/>
    <col min="7940" max="7941" width="12.88671875" style="4" customWidth="1"/>
    <col min="7942" max="7942" width="13.88671875" style="4" bestFit="1" customWidth="1"/>
    <col min="7943" max="7947" width="12.109375" style="4" bestFit="1" customWidth="1"/>
    <col min="7948" max="7952" width="12.88671875" style="4" bestFit="1" customWidth="1"/>
    <col min="7953" max="7953" width="13.109375" style="4" bestFit="1" customWidth="1"/>
    <col min="7954" max="7973" width="12.88671875" style="4" bestFit="1" customWidth="1"/>
    <col min="7974" max="7975" width="13.109375" style="4" bestFit="1" customWidth="1"/>
    <col min="7976" max="7976" width="11.109375" style="4" customWidth="1"/>
    <col min="7977" max="7977" width="13.44140625" style="4" bestFit="1" customWidth="1"/>
    <col min="7978" max="8193" width="9.109375" style="4"/>
    <col min="8194" max="8194" width="9.109375" style="4" customWidth="1"/>
    <col min="8195" max="8195" width="29.6640625" style="4" customWidth="1"/>
    <col min="8196" max="8197" width="12.88671875" style="4" customWidth="1"/>
    <col min="8198" max="8198" width="13.88671875" style="4" bestFit="1" customWidth="1"/>
    <col min="8199" max="8203" width="12.109375" style="4" bestFit="1" customWidth="1"/>
    <col min="8204" max="8208" width="12.88671875" style="4" bestFit="1" customWidth="1"/>
    <col min="8209" max="8209" width="13.109375" style="4" bestFit="1" customWidth="1"/>
    <col min="8210" max="8229" width="12.88671875" style="4" bestFit="1" customWidth="1"/>
    <col min="8230" max="8231" width="13.109375" style="4" bestFit="1" customWidth="1"/>
    <col min="8232" max="8232" width="11.109375" style="4" customWidth="1"/>
    <col min="8233" max="8233" width="13.44140625" style="4" bestFit="1" customWidth="1"/>
    <col min="8234" max="8449" width="9.109375" style="4"/>
    <col min="8450" max="8450" width="9.109375" style="4" customWidth="1"/>
    <col min="8451" max="8451" width="29.6640625" style="4" customWidth="1"/>
    <col min="8452" max="8453" width="12.88671875" style="4" customWidth="1"/>
    <col min="8454" max="8454" width="13.88671875" style="4" bestFit="1" customWidth="1"/>
    <col min="8455" max="8459" width="12.109375" style="4" bestFit="1" customWidth="1"/>
    <col min="8460" max="8464" width="12.88671875" style="4" bestFit="1" customWidth="1"/>
    <col min="8465" max="8465" width="13.109375" style="4" bestFit="1" customWidth="1"/>
    <col min="8466" max="8485" width="12.88671875" style="4" bestFit="1" customWidth="1"/>
    <col min="8486" max="8487" width="13.109375" style="4" bestFit="1" customWidth="1"/>
    <col min="8488" max="8488" width="11.109375" style="4" customWidth="1"/>
    <col min="8489" max="8489" width="13.44140625" style="4" bestFit="1" customWidth="1"/>
    <col min="8490" max="8705" width="9.109375" style="4"/>
    <col min="8706" max="8706" width="9.109375" style="4" customWidth="1"/>
    <col min="8707" max="8707" width="29.6640625" style="4" customWidth="1"/>
    <col min="8708" max="8709" width="12.88671875" style="4" customWidth="1"/>
    <col min="8710" max="8710" width="13.88671875" style="4" bestFit="1" customWidth="1"/>
    <col min="8711" max="8715" width="12.109375" style="4" bestFit="1" customWidth="1"/>
    <col min="8716" max="8720" width="12.88671875" style="4" bestFit="1" customWidth="1"/>
    <col min="8721" max="8721" width="13.109375" style="4" bestFit="1" customWidth="1"/>
    <col min="8722" max="8741" width="12.88671875" style="4" bestFit="1" customWidth="1"/>
    <col min="8742" max="8743" width="13.109375" style="4" bestFit="1" customWidth="1"/>
    <col min="8744" max="8744" width="11.109375" style="4" customWidth="1"/>
    <col min="8745" max="8745" width="13.44140625" style="4" bestFit="1" customWidth="1"/>
    <col min="8746" max="8961" width="9.109375" style="4"/>
    <col min="8962" max="8962" width="9.109375" style="4" customWidth="1"/>
    <col min="8963" max="8963" width="29.6640625" style="4" customWidth="1"/>
    <col min="8964" max="8965" width="12.88671875" style="4" customWidth="1"/>
    <col min="8966" max="8966" width="13.88671875" style="4" bestFit="1" customWidth="1"/>
    <col min="8967" max="8971" width="12.109375" style="4" bestFit="1" customWidth="1"/>
    <col min="8972" max="8976" width="12.88671875" style="4" bestFit="1" customWidth="1"/>
    <col min="8977" max="8977" width="13.109375" style="4" bestFit="1" customWidth="1"/>
    <col min="8978" max="8997" width="12.88671875" style="4" bestFit="1" customWidth="1"/>
    <col min="8998" max="8999" width="13.109375" style="4" bestFit="1" customWidth="1"/>
    <col min="9000" max="9000" width="11.109375" style="4" customWidth="1"/>
    <col min="9001" max="9001" width="13.44140625" style="4" bestFit="1" customWidth="1"/>
    <col min="9002" max="9217" width="9.109375" style="4"/>
    <col min="9218" max="9218" width="9.109375" style="4" customWidth="1"/>
    <col min="9219" max="9219" width="29.6640625" style="4" customWidth="1"/>
    <col min="9220" max="9221" width="12.88671875" style="4" customWidth="1"/>
    <col min="9222" max="9222" width="13.88671875" style="4" bestFit="1" customWidth="1"/>
    <col min="9223" max="9227" width="12.109375" style="4" bestFit="1" customWidth="1"/>
    <col min="9228" max="9232" width="12.88671875" style="4" bestFit="1" customWidth="1"/>
    <col min="9233" max="9233" width="13.109375" style="4" bestFit="1" customWidth="1"/>
    <col min="9234" max="9253" width="12.88671875" style="4" bestFit="1" customWidth="1"/>
    <col min="9254" max="9255" width="13.109375" style="4" bestFit="1" customWidth="1"/>
    <col min="9256" max="9256" width="11.109375" style="4" customWidth="1"/>
    <col min="9257" max="9257" width="13.44140625" style="4" bestFit="1" customWidth="1"/>
    <col min="9258" max="9473" width="9.109375" style="4"/>
    <col min="9474" max="9474" width="9.109375" style="4" customWidth="1"/>
    <col min="9475" max="9475" width="29.6640625" style="4" customWidth="1"/>
    <col min="9476" max="9477" width="12.88671875" style="4" customWidth="1"/>
    <col min="9478" max="9478" width="13.88671875" style="4" bestFit="1" customWidth="1"/>
    <col min="9479" max="9483" width="12.109375" style="4" bestFit="1" customWidth="1"/>
    <col min="9484" max="9488" width="12.88671875" style="4" bestFit="1" customWidth="1"/>
    <col min="9489" max="9489" width="13.109375" style="4" bestFit="1" customWidth="1"/>
    <col min="9490" max="9509" width="12.88671875" style="4" bestFit="1" customWidth="1"/>
    <col min="9510" max="9511" width="13.109375" style="4" bestFit="1" customWidth="1"/>
    <col min="9512" max="9512" width="11.109375" style="4" customWidth="1"/>
    <col min="9513" max="9513" width="13.44140625" style="4" bestFit="1" customWidth="1"/>
    <col min="9514" max="9729" width="9.109375" style="4"/>
    <col min="9730" max="9730" width="9.109375" style="4" customWidth="1"/>
    <col min="9731" max="9731" width="29.6640625" style="4" customWidth="1"/>
    <col min="9732" max="9733" width="12.88671875" style="4" customWidth="1"/>
    <col min="9734" max="9734" width="13.88671875" style="4" bestFit="1" customWidth="1"/>
    <col min="9735" max="9739" width="12.109375" style="4" bestFit="1" customWidth="1"/>
    <col min="9740" max="9744" width="12.88671875" style="4" bestFit="1" customWidth="1"/>
    <col min="9745" max="9745" width="13.109375" style="4" bestFit="1" customWidth="1"/>
    <col min="9746" max="9765" width="12.88671875" style="4" bestFit="1" customWidth="1"/>
    <col min="9766" max="9767" width="13.109375" style="4" bestFit="1" customWidth="1"/>
    <col min="9768" max="9768" width="11.109375" style="4" customWidth="1"/>
    <col min="9769" max="9769" width="13.44140625" style="4" bestFit="1" customWidth="1"/>
    <col min="9770" max="9985" width="9.109375" style="4"/>
    <col min="9986" max="9986" width="9.109375" style="4" customWidth="1"/>
    <col min="9987" max="9987" width="29.6640625" style="4" customWidth="1"/>
    <col min="9988" max="9989" width="12.88671875" style="4" customWidth="1"/>
    <col min="9990" max="9990" width="13.88671875" style="4" bestFit="1" customWidth="1"/>
    <col min="9991" max="9995" width="12.109375" style="4" bestFit="1" customWidth="1"/>
    <col min="9996" max="10000" width="12.88671875" style="4" bestFit="1" customWidth="1"/>
    <col min="10001" max="10001" width="13.109375" style="4" bestFit="1" customWidth="1"/>
    <col min="10002" max="10021" width="12.88671875" style="4" bestFit="1" customWidth="1"/>
    <col min="10022" max="10023" width="13.109375" style="4" bestFit="1" customWidth="1"/>
    <col min="10024" max="10024" width="11.109375" style="4" customWidth="1"/>
    <col min="10025" max="10025" width="13.44140625" style="4" bestFit="1" customWidth="1"/>
    <col min="10026" max="10241" width="9.109375" style="4"/>
    <col min="10242" max="10242" width="9.109375" style="4" customWidth="1"/>
    <col min="10243" max="10243" width="29.6640625" style="4" customWidth="1"/>
    <col min="10244" max="10245" width="12.88671875" style="4" customWidth="1"/>
    <col min="10246" max="10246" width="13.88671875" style="4" bestFit="1" customWidth="1"/>
    <col min="10247" max="10251" width="12.109375" style="4" bestFit="1" customWidth="1"/>
    <col min="10252" max="10256" width="12.88671875" style="4" bestFit="1" customWidth="1"/>
    <col min="10257" max="10257" width="13.109375" style="4" bestFit="1" customWidth="1"/>
    <col min="10258" max="10277" width="12.88671875" style="4" bestFit="1" customWidth="1"/>
    <col min="10278" max="10279" width="13.109375" style="4" bestFit="1" customWidth="1"/>
    <col min="10280" max="10280" width="11.109375" style="4" customWidth="1"/>
    <col min="10281" max="10281" width="13.44140625" style="4" bestFit="1" customWidth="1"/>
    <col min="10282" max="10497" width="9.109375" style="4"/>
    <col min="10498" max="10498" width="9.109375" style="4" customWidth="1"/>
    <col min="10499" max="10499" width="29.6640625" style="4" customWidth="1"/>
    <col min="10500" max="10501" width="12.88671875" style="4" customWidth="1"/>
    <col min="10502" max="10502" width="13.88671875" style="4" bestFit="1" customWidth="1"/>
    <col min="10503" max="10507" width="12.109375" style="4" bestFit="1" customWidth="1"/>
    <col min="10508" max="10512" width="12.88671875" style="4" bestFit="1" customWidth="1"/>
    <col min="10513" max="10513" width="13.109375" style="4" bestFit="1" customWidth="1"/>
    <col min="10514" max="10533" width="12.88671875" style="4" bestFit="1" customWidth="1"/>
    <col min="10534" max="10535" width="13.109375" style="4" bestFit="1" customWidth="1"/>
    <col min="10536" max="10536" width="11.109375" style="4" customWidth="1"/>
    <col min="10537" max="10537" width="13.44140625" style="4" bestFit="1" customWidth="1"/>
    <col min="10538" max="10753" width="9.109375" style="4"/>
    <col min="10754" max="10754" width="9.109375" style="4" customWidth="1"/>
    <col min="10755" max="10755" width="29.6640625" style="4" customWidth="1"/>
    <col min="10756" max="10757" width="12.88671875" style="4" customWidth="1"/>
    <col min="10758" max="10758" width="13.88671875" style="4" bestFit="1" customWidth="1"/>
    <col min="10759" max="10763" width="12.109375" style="4" bestFit="1" customWidth="1"/>
    <col min="10764" max="10768" width="12.88671875" style="4" bestFit="1" customWidth="1"/>
    <col min="10769" max="10769" width="13.109375" style="4" bestFit="1" customWidth="1"/>
    <col min="10770" max="10789" width="12.88671875" style="4" bestFit="1" customWidth="1"/>
    <col min="10790" max="10791" width="13.109375" style="4" bestFit="1" customWidth="1"/>
    <col min="10792" max="10792" width="11.109375" style="4" customWidth="1"/>
    <col min="10793" max="10793" width="13.44140625" style="4" bestFit="1" customWidth="1"/>
    <col min="10794" max="11009" width="9.109375" style="4"/>
    <col min="11010" max="11010" width="9.109375" style="4" customWidth="1"/>
    <col min="11011" max="11011" width="29.6640625" style="4" customWidth="1"/>
    <col min="11012" max="11013" width="12.88671875" style="4" customWidth="1"/>
    <col min="11014" max="11014" width="13.88671875" style="4" bestFit="1" customWidth="1"/>
    <col min="11015" max="11019" width="12.109375" style="4" bestFit="1" customWidth="1"/>
    <col min="11020" max="11024" width="12.88671875" style="4" bestFit="1" customWidth="1"/>
    <col min="11025" max="11025" width="13.109375" style="4" bestFit="1" customWidth="1"/>
    <col min="11026" max="11045" width="12.88671875" style="4" bestFit="1" customWidth="1"/>
    <col min="11046" max="11047" width="13.109375" style="4" bestFit="1" customWidth="1"/>
    <col min="11048" max="11048" width="11.109375" style="4" customWidth="1"/>
    <col min="11049" max="11049" width="13.44140625" style="4" bestFit="1" customWidth="1"/>
    <col min="11050" max="11265" width="9.109375" style="4"/>
    <col min="11266" max="11266" width="9.109375" style="4" customWidth="1"/>
    <col min="11267" max="11267" width="29.6640625" style="4" customWidth="1"/>
    <col min="11268" max="11269" width="12.88671875" style="4" customWidth="1"/>
    <col min="11270" max="11270" width="13.88671875" style="4" bestFit="1" customWidth="1"/>
    <col min="11271" max="11275" width="12.109375" style="4" bestFit="1" customWidth="1"/>
    <col min="11276" max="11280" width="12.88671875" style="4" bestFit="1" customWidth="1"/>
    <col min="11281" max="11281" width="13.109375" style="4" bestFit="1" customWidth="1"/>
    <col min="11282" max="11301" width="12.88671875" style="4" bestFit="1" customWidth="1"/>
    <col min="11302" max="11303" width="13.109375" style="4" bestFit="1" customWidth="1"/>
    <col min="11304" max="11304" width="11.109375" style="4" customWidth="1"/>
    <col min="11305" max="11305" width="13.44140625" style="4" bestFit="1" customWidth="1"/>
    <col min="11306" max="11521" width="9.109375" style="4"/>
    <col min="11522" max="11522" width="9.109375" style="4" customWidth="1"/>
    <col min="11523" max="11523" width="29.6640625" style="4" customWidth="1"/>
    <col min="11524" max="11525" width="12.88671875" style="4" customWidth="1"/>
    <col min="11526" max="11526" width="13.88671875" style="4" bestFit="1" customWidth="1"/>
    <col min="11527" max="11531" width="12.109375" style="4" bestFit="1" customWidth="1"/>
    <col min="11532" max="11536" width="12.88671875" style="4" bestFit="1" customWidth="1"/>
    <col min="11537" max="11537" width="13.109375" style="4" bestFit="1" customWidth="1"/>
    <col min="11538" max="11557" width="12.88671875" style="4" bestFit="1" customWidth="1"/>
    <col min="11558" max="11559" width="13.109375" style="4" bestFit="1" customWidth="1"/>
    <col min="11560" max="11560" width="11.109375" style="4" customWidth="1"/>
    <col min="11561" max="11561" width="13.44140625" style="4" bestFit="1" customWidth="1"/>
    <col min="11562" max="11777" width="9.109375" style="4"/>
    <col min="11778" max="11778" width="9.109375" style="4" customWidth="1"/>
    <col min="11779" max="11779" width="29.6640625" style="4" customWidth="1"/>
    <col min="11780" max="11781" width="12.88671875" style="4" customWidth="1"/>
    <col min="11782" max="11782" width="13.88671875" style="4" bestFit="1" customWidth="1"/>
    <col min="11783" max="11787" width="12.109375" style="4" bestFit="1" customWidth="1"/>
    <col min="11788" max="11792" width="12.88671875" style="4" bestFit="1" customWidth="1"/>
    <col min="11793" max="11793" width="13.109375" style="4" bestFit="1" customWidth="1"/>
    <col min="11794" max="11813" width="12.88671875" style="4" bestFit="1" customWidth="1"/>
    <col min="11814" max="11815" width="13.109375" style="4" bestFit="1" customWidth="1"/>
    <col min="11816" max="11816" width="11.109375" style="4" customWidth="1"/>
    <col min="11817" max="11817" width="13.44140625" style="4" bestFit="1" customWidth="1"/>
    <col min="11818" max="12033" width="9.109375" style="4"/>
    <col min="12034" max="12034" width="9.109375" style="4" customWidth="1"/>
    <col min="12035" max="12035" width="29.6640625" style="4" customWidth="1"/>
    <col min="12036" max="12037" width="12.88671875" style="4" customWidth="1"/>
    <col min="12038" max="12038" width="13.88671875" style="4" bestFit="1" customWidth="1"/>
    <col min="12039" max="12043" width="12.109375" style="4" bestFit="1" customWidth="1"/>
    <col min="12044" max="12048" width="12.88671875" style="4" bestFit="1" customWidth="1"/>
    <col min="12049" max="12049" width="13.109375" style="4" bestFit="1" customWidth="1"/>
    <col min="12050" max="12069" width="12.88671875" style="4" bestFit="1" customWidth="1"/>
    <col min="12070" max="12071" width="13.109375" style="4" bestFit="1" customWidth="1"/>
    <col min="12072" max="12072" width="11.109375" style="4" customWidth="1"/>
    <col min="12073" max="12073" width="13.44140625" style="4" bestFit="1" customWidth="1"/>
    <col min="12074" max="12289" width="9.109375" style="4"/>
    <col min="12290" max="12290" width="9.109375" style="4" customWidth="1"/>
    <col min="12291" max="12291" width="29.6640625" style="4" customWidth="1"/>
    <col min="12292" max="12293" width="12.88671875" style="4" customWidth="1"/>
    <col min="12294" max="12294" width="13.88671875" style="4" bestFit="1" customWidth="1"/>
    <col min="12295" max="12299" width="12.109375" style="4" bestFit="1" customWidth="1"/>
    <col min="12300" max="12304" width="12.88671875" style="4" bestFit="1" customWidth="1"/>
    <col min="12305" max="12305" width="13.109375" style="4" bestFit="1" customWidth="1"/>
    <col min="12306" max="12325" width="12.88671875" style="4" bestFit="1" customWidth="1"/>
    <col min="12326" max="12327" width="13.109375" style="4" bestFit="1" customWidth="1"/>
    <col min="12328" max="12328" width="11.109375" style="4" customWidth="1"/>
    <col min="12329" max="12329" width="13.44140625" style="4" bestFit="1" customWidth="1"/>
    <col min="12330" max="12545" width="9.109375" style="4"/>
    <col min="12546" max="12546" width="9.109375" style="4" customWidth="1"/>
    <col min="12547" max="12547" width="29.6640625" style="4" customWidth="1"/>
    <col min="12548" max="12549" width="12.88671875" style="4" customWidth="1"/>
    <col min="12550" max="12550" width="13.88671875" style="4" bestFit="1" customWidth="1"/>
    <col min="12551" max="12555" width="12.109375" style="4" bestFit="1" customWidth="1"/>
    <col min="12556" max="12560" width="12.88671875" style="4" bestFit="1" customWidth="1"/>
    <col min="12561" max="12561" width="13.109375" style="4" bestFit="1" customWidth="1"/>
    <col min="12562" max="12581" width="12.88671875" style="4" bestFit="1" customWidth="1"/>
    <col min="12582" max="12583" width="13.109375" style="4" bestFit="1" customWidth="1"/>
    <col min="12584" max="12584" width="11.109375" style="4" customWidth="1"/>
    <col min="12585" max="12585" width="13.44140625" style="4" bestFit="1" customWidth="1"/>
    <col min="12586" max="12801" width="9.109375" style="4"/>
    <col min="12802" max="12802" width="9.109375" style="4" customWidth="1"/>
    <col min="12803" max="12803" width="29.6640625" style="4" customWidth="1"/>
    <col min="12804" max="12805" width="12.88671875" style="4" customWidth="1"/>
    <col min="12806" max="12806" width="13.88671875" style="4" bestFit="1" customWidth="1"/>
    <col min="12807" max="12811" width="12.109375" style="4" bestFit="1" customWidth="1"/>
    <col min="12812" max="12816" width="12.88671875" style="4" bestFit="1" customWidth="1"/>
    <col min="12817" max="12817" width="13.109375" style="4" bestFit="1" customWidth="1"/>
    <col min="12818" max="12837" width="12.88671875" style="4" bestFit="1" customWidth="1"/>
    <col min="12838" max="12839" width="13.109375" style="4" bestFit="1" customWidth="1"/>
    <col min="12840" max="12840" width="11.109375" style="4" customWidth="1"/>
    <col min="12841" max="12841" width="13.44140625" style="4" bestFit="1" customWidth="1"/>
    <col min="12842" max="13057" width="9.109375" style="4"/>
    <col min="13058" max="13058" width="9.109375" style="4" customWidth="1"/>
    <col min="13059" max="13059" width="29.6640625" style="4" customWidth="1"/>
    <col min="13060" max="13061" width="12.88671875" style="4" customWidth="1"/>
    <col min="13062" max="13062" width="13.88671875" style="4" bestFit="1" customWidth="1"/>
    <col min="13063" max="13067" width="12.109375" style="4" bestFit="1" customWidth="1"/>
    <col min="13068" max="13072" width="12.88671875" style="4" bestFit="1" customWidth="1"/>
    <col min="13073" max="13073" width="13.109375" style="4" bestFit="1" customWidth="1"/>
    <col min="13074" max="13093" width="12.88671875" style="4" bestFit="1" customWidth="1"/>
    <col min="13094" max="13095" width="13.109375" style="4" bestFit="1" customWidth="1"/>
    <col min="13096" max="13096" width="11.109375" style="4" customWidth="1"/>
    <col min="13097" max="13097" width="13.44140625" style="4" bestFit="1" customWidth="1"/>
    <col min="13098" max="13313" width="9.109375" style="4"/>
    <col min="13314" max="13314" width="9.109375" style="4" customWidth="1"/>
    <col min="13315" max="13315" width="29.6640625" style="4" customWidth="1"/>
    <col min="13316" max="13317" width="12.88671875" style="4" customWidth="1"/>
    <col min="13318" max="13318" width="13.88671875" style="4" bestFit="1" customWidth="1"/>
    <col min="13319" max="13323" width="12.109375" style="4" bestFit="1" customWidth="1"/>
    <col min="13324" max="13328" width="12.88671875" style="4" bestFit="1" customWidth="1"/>
    <col min="13329" max="13329" width="13.109375" style="4" bestFit="1" customWidth="1"/>
    <col min="13330" max="13349" width="12.88671875" style="4" bestFit="1" customWidth="1"/>
    <col min="13350" max="13351" width="13.109375" style="4" bestFit="1" customWidth="1"/>
    <col min="13352" max="13352" width="11.109375" style="4" customWidth="1"/>
    <col min="13353" max="13353" width="13.44140625" style="4" bestFit="1" customWidth="1"/>
    <col min="13354" max="13569" width="9.109375" style="4"/>
    <col min="13570" max="13570" width="9.109375" style="4" customWidth="1"/>
    <col min="13571" max="13571" width="29.6640625" style="4" customWidth="1"/>
    <col min="13572" max="13573" width="12.88671875" style="4" customWidth="1"/>
    <col min="13574" max="13574" width="13.88671875" style="4" bestFit="1" customWidth="1"/>
    <col min="13575" max="13579" width="12.109375" style="4" bestFit="1" customWidth="1"/>
    <col min="13580" max="13584" width="12.88671875" style="4" bestFit="1" customWidth="1"/>
    <col min="13585" max="13585" width="13.109375" style="4" bestFit="1" customWidth="1"/>
    <col min="13586" max="13605" width="12.88671875" style="4" bestFit="1" customWidth="1"/>
    <col min="13606" max="13607" width="13.109375" style="4" bestFit="1" customWidth="1"/>
    <col min="13608" max="13608" width="11.109375" style="4" customWidth="1"/>
    <col min="13609" max="13609" width="13.44140625" style="4" bestFit="1" customWidth="1"/>
    <col min="13610" max="13825" width="9.109375" style="4"/>
    <col min="13826" max="13826" width="9.109375" style="4" customWidth="1"/>
    <col min="13827" max="13827" width="29.6640625" style="4" customWidth="1"/>
    <col min="13828" max="13829" width="12.88671875" style="4" customWidth="1"/>
    <col min="13830" max="13830" width="13.88671875" style="4" bestFit="1" customWidth="1"/>
    <col min="13831" max="13835" width="12.109375" style="4" bestFit="1" customWidth="1"/>
    <col min="13836" max="13840" width="12.88671875" style="4" bestFit="1" customWidth="1"/>
    <col min="13841" max="13841" width="13.109375" style="4" bestFit="1" customWidth="1"/>
    <col min="13842" max="13861" width="12.88671875" style="4" bestFit="1" customWidth="1"/>
    <col min="13862" max="13863" width="13.109375" style="4" bestFit="1" customWidth="1"/>
    <col min="13864" max="13864" width="11.109375" style="4" customWidth="1"/>
    <col min="13865" max="13865" width="13.44140625" style="4" bestFit="1" customWidth="1"/>
    <col min="13866" max="14081" width="9.109375" style="4"/>
    <col min="14082" max="14082" width="9.109375" style="4" customWidth="1"/>
    <col min="14083" max="14083" width="29.6640625" style="4" customWidth="1"/>
    <col min="14084" max="14085" width="12.88671875" style="4" customWidth="1"/>
    <col min="14086" max="14086" width="13.88671875" style="4" bestFit="1" customWidth="1"/>
    <col min="14087" max="14091" width="12.109375" style="4" bestFit="1" customWidth="1"/>
    <col min="14092" max="14096" width="12.88671875" style="4" bestFit="1" customWidth="1"/>
    <col min="14097" max="14097" width="13.109375" style="4" bestFit="1" customWidth="1"/>
    <col min="14098" max="14117" width="12.88671875" style="4" bestFit="1" customWidth="1"/>
    <col min="14118" max="14119" width="13.109375" style="4" bestFit="1" customWidth="1"/>
    <col min="14120" max="14120" width="11.109375" style="4" customWidth="1"/>
    <col min="14121" max="14121" width="13.44140625" style="4" bestFit="1" customWidth="1"/>
    <col min="14122" max="14337" width="9.109375" style="4"/>
    <col min="14338" max="14338" width="9.109375" style="4" customWidth="1"/>
    <col min="14339" max="14339" width="29.6640625" style="4" customWidth="1"/>
    <col min="14340" max="14341" width="12.88671875" style="4" customWidth="1"/>
    <col min="14342" max="14342" width="13.88671875" style="4" bestFit="1" customWidth="1"/>
    <col min="14343" max="14347" width="12.109375" style="4" bestFit="1" customWidth="1"/>
    <col min="14348" max="14352" width="12.88671875" style="4" bestFit="1" customWidth="1"/>
    <col min="14353" max="14353" width="13.109375" style="4" bestFit="1" customWidth="1"/>
    <col min="14354" max="14373" width="12.88671875" style="4" bestFit="1" customWidth="1"/>
    <col min="14374" max="14375" width="13.109375" style="4" bestFit="1" customWidth="1"/>
    <col min="14376" max="14376" width="11.109375" style="4" customWidth="1"/>
    <col min="14377" max="14377" width="13.44140625" style="4" bestFit="1" customWidth="1"/>
    <col min="14378" max="14593" width="9.109375" style="4"/>
    <col min="14594" max="14594" width="9.109375" style="4" customWidth="1"/>
    <col min="14595" max="14595" width="29.6640625" style="4" customWidth="1"/>
    <col min="14596" max="14597" width="12.88671875" style="4" customWidth="1"/>
    <col min="14598" max="14598" width="13.88671875" style="4" bestFit="1" customWidth="1"/>
    <col min="14599" max="14603" width="12.109375" style="4" bestFit="1" customWidth="1"/>
    <col min="14604" max="14608" width="12.88671875" style="4" bestFit="1" customWidth="1"/>
    <col min="14609" max="14609" width="13.109375" style="4" bestFit="1" customWidth="1"/>
    <col min="14610" max="14629" width="12.88671875" style="4" bestFit="1" customWidth="1"/>
    <col min="14630" max="14631" width="13.109375" style="4" bestFit="1" customWidth="1"/>
    <col min="14632" max="14632" width="11.109375" style="4" customWidth="1"/>
    <col min="14633" max="14633" width="13.44140625" style="4" bestFit="1" customWidth="1"/>
    <col min="14634" max="14849" width="9.109375" style="4"/>
    <col min="14850" max="14850" width="9.109375" style="4" customWidth="1"/>
    <col min="14851" max="14851" width="29.6640625" style="4" customWidth="1"/>
    <col min="14852" max="14853" width="12.88671875" style="4" customWidth="1"/>
    <col min="14854" max="14854" width="13.88671875" style="4" bestFit="1" customWidth="1"/>
    <col min="14855" max="14859" width="12.109375" style="4" bestFit="1" customWidth="1"/>
    <col min="14860" max="14864" width="12.88671875" style="4" bestFit="1" customWidth="1"/>
    <col min="14865" max="14865" width="13.109375" style="4" bestFit="1" customWidth="1"/>
    <col min="14866" max="14885" width="12.88671875" style="4" bestFit="1" customWidth="1"/>
    <col min="14886" max="14887" width="13.109375" style="4" bestFit="1" customWidth="1"/>
    <col min="14888" max="14888" width="11.109375" style="4" customWidth="1"/>
    <col min="14889" max="14889" width="13.44140625" style="4" bestFit="1" customWidth="1"/>
    <col min="14890" max="15105" width="9.109375" style="4"/>
    <col min="15106" max="15106" width="9.109375" style="4" customWidth="1"/>
    <col min="15107" max="15107" width="29.6640625" style="4" customWidth="1"/>
    <col min="15108" max="15109" width="12.88671875" style="4" customWidth="1"/>
    <col min="15110" max="15110" width="13.88671875" style="4" bestFit="1" customWidth="1"/>
    <col min="15111" max="15115" width="12.109375" style="4" bestFit="1" customWidth="1"/>
    <col min="15116" max="15120" width="12.88671875" style="4" bestFit="1" customWidth="1"/>
    <col min="15121" max="15121" width="13.109375" style="4" bestFit="1" customWidth="1"/>
    <col min="15122" max="15141" width="12.88671875" style="4" bestFit="1" customWidth="1"/>
    <col min="15142" max="15143" width="13.109375" style="4" bestFit="1" customWidth="1"/>
    <col min="15144" max="15144" width="11.109375" style="4" customWidth="1"/>
    <col min="15145" max="15145" width="13.44140625" style="4" bestFit="1" customWidth="1"/>
    <col min="15146" max="15361" width="9.109375" style="4"/>
    <col min="15362" max="15362" width="9.109375" style="4" customWidth="1"/>
    <col min="15363" max="15363" width="29.6640625" style="4" customWidth="1"/>
    <col min="15364" max="15365" width="12.88671875" style="4" customWidth="1"/>
    <col min="15366" max="15366" width="13.88671875" style="4" bestFit="1" customWidth="1"/>
    <col min="15367" max="15371" width="12.109375" style="4" bestFit="1" customWidth="1"/>
    <col min="15372" max="15376" width="12.88671875" style="4" bestFit="1" customWidth="1"/>
    <col min="15377" max="15377" width="13.109375" style="4" bestFit="1" customWidth="1"/>
    <col min="15378" max="15397" width="12.88671875" style="4" bestFit="1" customWidth="1"/>
    <col min="15398" max="15399" width="13.109375" style="4" bestFit="1" customWidth="1"/>
    <col min="15400" max="15400" width="11.109375" style="4" customWidth="1"/>
    <col min="15401" max="15401" width="13.44140625" style="4" bestFit="1" customWidth="1"/>
    <col min="15402" max="15617" width="9.109375" style="4"/>
    <col min="15618" max="15618" width="9.109375" style="4" customWidth="1"/>
    <col min="15619" max="15619" width="29.6640625" style="4" customWidth="1"/>
    <col min="15620" max="15621" width="12.88671875" style="4" customWidth="1"/>
    <col min="15622" max="15622" width="13.88671875" style="4" bestFit="1" customWidth="1"/>
    <col min="15623" max="15627" width="12.109375" style="4" bestFit="1" customWidth="1"/>
    <col min="15628" max="15632" width="12.88671875" style="4" bestFit="1" customWidth="1"/>
    <col min="15633" max="15633" width="13.109375" style="4" bestFit="1" customWidth="1"/>
    <col min="15634" max="15653" width="12.88671875" style="4" bestFit="1" customWidth="1"/>
    <col min="15654" max="15655" width="13.109375" style="4" bestFit="1" customWidth="1"/>
    <col min="15656" max="15656" width="11.109375" style="4" customWidth="1"/>
    <col min="15657" max="15657" width="13.44140625" style="4" bestFit="1" customWidth="1"/>
    <col min="15658" max="15873" width="9.109375" style="4"/>
    <col min="15874" max="15874" width="9.109375" style="4" customWidth="1"/>
    <col min="15875" max="15875" width="29.6640625" style="4" customWidth="1"/>
    <col min="15876" max="15877" width="12.88671875" style="4" customWidth="1"/>
    <col min="15878" max="15878" width="13.88671875" style="4" bestFit="1" customWidth="1"/>
    <col min="15879" max="15883" width="12.109375" style="4" bestFit="1" customWidth="1"/>
    <col min="15884" max="15888" width="12.88671875" style="4" bestFit="1" customWidth="1"/>
    <col min="15889" max="15889" width="13.109375" style="4" bestFit="1" customWidth="1"/>
    <col min="15890" max="15909" width="12.88671875" style="4" bestFit="1" customWidth="1"/>
    <col min="15910" max="15911" width="13.109375" style="4" bestFit="1" customWidth="1"/>
    <col min="15912" max="15912" width="11.109375" style="4" customWidth="1"/>
    <col min="15913" max="15913" width="13.44140625" style="4" bestFit="1" customWidth="1"/>
    <col min="15914" max="16129" width="9.109375" style="4"/>
    <col min="16130" max="16130" width="9.109375" style="4" customWidth="1"/>
    <col min="16131" max="16131" width="29.6640625" style="4" customWidth="1"/>
    <col min="16132" max="16133" width="12.88671875" style="4" customWidth="1"/>
    <col min="16134" max="16134" width="13.88671875" style="4" bestFit="1" customWidth="1"/>
    <col min="16135" max="16139" width="12.109375" style="4" bestFit="1" customWidth="1"/>
    <col min="16140" max="16144" width="12.88671875" style="4" bestFit="1" customWidth="1"/>
    <col min="16145" max="16145" width="13.109375" style="4" bestFit="1" customWidth="1"/>
    <col min="16146" max="16165" width="12.88671875" style="4" bestFit="1" customWidth="1"/>
    <col min="16166" max="16167" width="13.109375" style="4" bestFit="1" customWidth="1"/>
    <col min="16168" max="16168" width="11.109375" style="4" customWidth="1"/>
    <col min="16169" max="16169" width="13.44140625" style="4" bestFit="1" customWidth="1"/>
    <col min="16170" max="16384" width="9.109375" style="4"/>
  </cols>
  <sheetData>
    <row r="1" spans="1:47" ht="91.5" customHeight="1">
      <c r="A1" s="704" t="s">
        <v>148</v>
      </c>
      <c r="B1" s="704"/>
      <c r="C1" s="704"/>
      <c r="D1" s="704"/>
      <c r="E1" s="704"/>
      <c r="F1" s="704"/>
      <c r="G1" s="4"/>
      <c r="H1" s="66"/>
      <c r="I1" s="66"/>
      <c r="J1" s="66"/>
      <c r="K1" s="66"/>
      <c r="L1" s="66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7" ht="24.75" customHeight="1">
      <c r="A2" s="53" t="s">
        <v>32</v>
      </c>
      <c r="B2" s="22"/>
      <c r="C2" s="23"/>
      <c r="D2" s="23"/>
      <c r="E2" s="23"/>
      <c r="F2" s="3"/>
      <c r="G2" s="4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7" s="26" customFormat="1" ht="22.5" customHeight="1">
      <c r="A3" s="25"/>
      <c r="F3" s="705" t="s">
        <v>30</v>
      </c>
      <c r="G3" s="705" t="s">
        <v>31</v>
      </c>
      <c r="H3" s="27">
        <v>1</v>
      </c>
      <c r="I3" s="27">
        <v>2</v>
      </c>
      <c r="J3" s="27">
        <v>3</v>
      </c>
      <c r="K3" s="27">
        <v>4</v>
      </c>
      <c r="L3" s="27">
        <v>5</v>
      </c>
      <c r="M3" s="27">
        <v>6</v>
      </c>
      <c r="N3" s="27">
        <v>7</v>
      </c>
      <c r="O3" s="27">
        <v>8</v>
      </c>
      <c r="P3" s="27">
        <v>9</v>
      </c>
      <c r="Q3" s="27">
        <v>10</v>
      </c>
      <c r="R3" s="27">
        <v>11</v>
      </c>
      <c r="S3" s="27">
        <v>12</v>
      </c>
      <c r="T3" s="27">
        <v>13</v>
      </c>
      <c r="U3" s="27">
        <v>14</v>
      </c>
      <c r="V3" s="27">
        <v>15</v>
      </c>
      <c r="W3" s="27">
        <v>16</v>
      </c>
      <c r="X3" s="27">
        <v>17</v>
      </c>
      <c r="Y3" s="27">
        <v>18</v>
      </c>
      <c r="Z3" s="27">
        <v>19</v>
      </c>
      <c r="AA3" s="27">
        <v>20</v>
      </c>
      <c r="AB3" s="27">
        <v>21</v>
      </c>
      <c r="AC3" s="27">
        <v>22</v>
      </c>
      <c r="AD3" s="27">
        <v>23</v>
      </c>
      <c r="AE3" s="27">
        <v>24</v>
      </c>
      <c r="AF3" s="27">
        <v>25</v>
      </c>
      <c r="AG3" s="27">
        <v>26</v>
      </c>
      <c r="AH3" s="27">
        <v>27</v>
      </c>
      <c r="AI3" s="27">
        <v>28</v>
      </c>
      <c r="AJ3" s="27">
        <v>29</v>
      </c>
      <c r="AK3" s="27">
        <v>30</v>
      </c>
      <c r="AL3" s="27">
        <v>31</v>
      </c>
      <c r="AM3" s="27">
        <v>32</v>
      </c>
      <c r="AN3" s="27">
        <v>33</v>
      </c>
      <c r="AO3" s="27">
        <v>34</v>
      </c>
      <c r="AP3" s="27">
        <v>35</v>
      </c>
      <c r="AQ3" s="27">
        <v>36</v>
      </c>
    </row>
    <row r="4" spans="1:47" s="26" customFormat="1" ht="29.25" customHeight="1">
      <c r="A4" s="24"/>
      <c r="B4" s="27"/>
      <c r="C4" s="65" t="s">
        <v>14</v>
      </c>
      <c r="D4" s="65" t="s">
        <v>15</v>
      </c>
      <c r="E4" s="65" t="s">
        <v>16</v>
      </c>
      <c r="F4" s="705"/>
      <c r="G4" s="705"/>
      <c r="H4" s="27" t="s">
        <v>14</v>
      </c>
      <c r="I4" s="27" t="s">
        <v>14</v>
      </c>
      <c r="J4" s="27" t="s">
        <v>14</v>
      </c>
      <c r="K4" s="27" t="s">
        <v>14</v>
      </c>
      <c r="L4" s="27" t="s">
        <v>14</v>
      </c>
      <c r="M4" s="27" t="s">
        <v>14</v>
      </c>
      <c r="N4" s="27" t="s">
        <v>14</v>
      </c>
      <c r="O4" s="27" t="s">
        <v>14</v>
      </c>
      <c r="P4" s="27" t="s">
        <v>14</v>
      </c>
      <c r="Q4" s="27" t="s">
        <v>14</v>
      </c>
      <c r="R4" s="27" t="s">
        <v>14</v>
      </c>
      <c r="S4" s="27" t="s">
        <v>14</v>
      </c>
      <c r="T4" s="27" t="s">
        <v>15</v>
      </c>
      <c r="U4" s="27" t="s">
        <v>15</v>
      </c>
      <c r="V4" s="27" t="s">
        <v>15</v>
      </c>
      <c r="W4" s="27" t="s">
        <v>15</v>
      </c>
      <c r="X4" s="27" t="s">
        <v>15</v>
      </c>
      <c r="Y4" s="27" t="s">
        <v>15</v>
      </c>
      <c r="Z4" s="27" t="s">
        <v>15</v>
      </c>
      <c r="AA4" s="27" t="s">
        <v>15</v>
      </c>
      <c r="AB4" s="27" t="s">
        <v>15</v>
      </c>
      <c r="AC4" s="27" t="s">
        <v>15</v>
      </c>
      <c r="AD4" s="27" t="s">
        <v>15</v>
      </c>
      <c r="AE4" s="27" t="s">
        <v>15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  <c r="AK4" s="27" t="s">
        <v>16</v>
      </c>
      <c r="AL4" s="27" t="s">
        <v>16</v>
      </c>
      <c r="AM4" s="27" t="s">
        <v>16</v>
      </c>
      <c r="AN4" s="27" t="s">
        <v>16</v>
      </c>
      <c r="AO4" s="27" t="s">
        <v>16</v>
      </c>
      <c r="AP4" s="27" t="s">
        <v>16</v>
      </c>
      <c r="AQ4" s="27" t="s">
        <v>16</v>
      </c>
    </row>
    <row r="5" spans="1:47" ht="21" customHeight="1">
      <c r="A5" s="47" t="s">
        <v>235</v>
      </c>
      <c r="B5" s="48"/>
      <c r="C5" s="50">
        <f>SUM(H5:S5)</f>
        <v>0</v>
      </c>
      <c r="D5" s="50">
        <f>SUM(T5:AE5)</f>
        <v>0</v>
      </c>
      <c r="E5" s="50">
        <f>SUM(AF5:AQ5)</f>
        <v>0</v>
      </c>
      <c r="F5" s="51" t="e">
        <f>D5/C5-1</f>
        <v>#DIV/0!</v>
      </c>
      <c r="G5" s="51" t="e">
        <f>E5/D5-1</f>
        <v>#DIV/0!</v>
      </c>
      <c r="H5" s="49">
        <f t="shared" ref="H5:AQ5" si="0">SUM(H9:H13)</f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  <c r="N5" s="49">
        <f t="shared" si="0"/>
        <v>0</v>
      </c>
      <c r="O5" s="49">
        <f t="shared" si="0"/>
        <v>0</v>
      </c>
      <c r="P5" s="49">
        <f t="shared" si="0"/>
        <v>0</v>
      </c>
      <c r="Q5" s="49">
        <f t="shared" si="0"/>
        <v>0</v>
      </c>
      <c r="R5" s="49">
        <f t="shared" si="0"/>
        <v>0</v>
      </c>
      <c r="S5" s="49">
        <f t="shared" si="0"/>
        <v>0</v>
      </c>
      <c r="T5" s="49">
        <f t="shared" si="0"/>
        <v>0</v>
      </c>
      <c r="U5" s="49">
        <f t="shared" si="0"/>
        <v>0</v>
      </c>
      <c r="V5" s="49">
        <f t="shared" si="0"/>
        <v>0</v>
      </c>
      <c r="W5" s="49">
        <f t="shared" si="0"/>
        <v>0</v>
      </c>
      <c r="X5" s="49">
        <f t="shared" si="0"/>
        <v>0</v>
      </c>
      <c r="Y5" s="49">
        <f t="shared" si="0"/>
        <v>0</v>
      </c>
      <c r="Z5" s="49">
        <f t="shared" si="0"/>
        <v>0</v>
      </c>
      <c r="AA5" s="49">
        <f t="shared" si="0"/>
        <v>0</v>
      </c>
      <c r="AB5" s="49">
        <f t="shared" si="0"/>
        <v>0</v>
      </c>
      <c r="AC5" s="49">
        <f t="shared" si="0"/>
        <v>0</v>
      </c>
      <c r="AD5" s="49">
        <f t="shared" si="0"/>
        <v>0</v>
      </c>
      <c r="AE5" s="49">
        <f t="shared" si="0"/>
        <v>0</v>
      </c>
      <c r="AF5" s="49">
        <f t="shared" si="0"/>
        <v>0</v>
      </c>
      <c r="AG5" s="49">
        <f t="shared" si="0"/>
        <v>0</v>
      </c>
      <c r="AH5" s="49">
        <f t="shared" si="0"/>
        <v>0</v>
      </c>
      <c r="AI5" s="49">
        <f t="shared" si="0"/>
        <v>0</v>
      </c>
      <c r="AJ5" s="49">
        <f t="shared" si="0"/>
        <v>0</v>
      </c>
      <c r="AK5" s="49">
        <f t="shared" si="0"/>
        <v>0</v>
      </c>
      <c r="AL5" s="49">
        <f t="shared" si="0"/>
        <v>0</v>
      </c>
      <c r="AM5" s="49">
        <f t="shared" si="0"/>
        <v>0</v>
      </c>
      <c r="AN5" s="49">
        <f t="shared" si="0"/>
        <v>0</v>
      </c>
      <c r="AO5" s="49">
        <f t="shared" si="0"/>
        <v>0</v>
      </c>
      <c r="AP5" s="49">
        <f t="shared" si="0"/>
        <v>0</v>
      </c>
      <c r="AQ5" s="49">
        <f t="shared" si="0"/>
        <v>0</v>
      </c>
      <c r="AR5" s="5"/>
      <c r="AS5" s="6"/>
      <c r="AT5" s="6"/>
      <c r="AU5" s="6"/>
    </row>
    <row r="6" spans="1:47" ht="21" customHeight="1">
      <c r="A6" s="61" t="s">
        <v>237</v>
      </c>
      <c r="B6" s="252">
        <f>SUM(B9:B12)</f>
        <v>0</v>
      </c>
      <c r="C6" s="63">
        <f>SUM(H6:S6)</f>
        <v>0</v>
      </c>
      <c r="D6" s="63">
        <f>SUM(T6:AE6)</f>
        <v>0</v>
      </c>
      <c r="E6" s="63">
        <f>SUM(AF6:AQ6)</f>
        <v>0</v>
      </c>
      <c r="F6" s="64" t="e">
        <f t="shared" ref="F6:G7" si="1">D6/C6-1</f>
        <v>#DIV/0!</v>
      </c>
      <c r="G6" s="64" t="e">
        <f t="shared" si="1"/>
        <v>#DIV/0!</v>
      </c>
      <c r="H6" s="62">
        <f>SUM(H9:H12)</f>
        <v>0</v>
      </c>
      <c r="I6" s="62">
        <f t="shared" ref="I6:AQ6" si="2">SUM(I9:I12)</f>
        <v>0</v>
      </c>
      <c r="J6" s="62">
        <f t="shared" si="2"/>
        <v>0</v>
      </c>
      <c r="K6" s="62">
        <f t="shared" si="2"/>
        <v>0</v>
      </c>
      <c r="L6" s="62">
        <f t="shared" si="2"/>
        <v>0</v>
      </c>
      <c r="M6" s="62">
        <f t="shared" si="2"/>
        <v>0</v>
      </c>
      <c r="N6" s="62">
        <f t="shared" si="2"/>
        <v>0</v>
      </c>
      <c r="O6" s="62">
        <f t="shared" si="2"/>
        <v>0</v>
      </c>
      <c r="P6" s="62">
        <f t="shared" si="2"/>
        <v>0</v>
      </c>
      <c r="Q6" s="62">
        <f t="shared" si="2"/>
        <v>0</v>
      </c>
      <c r="R6" s="62">
        <f t="shared" si="2"/>
        <v>0</v>
      </c>
      <c r="S6" s="62">
        <f t="shared" si="2"/>
        <v>0</v>
      </c>
      <c r="T6" s="62">
        <f t="shared" si="2"/>
        <v>0</v>
      </c>
      <c r="U6" s="62">
        <f t="shared" si="2"/>
        <v>0</v>
      </c>
      <c r="V6" s="62">
        <f t="shared" si="2"/>
        <v>0</v>
      </c>
      <c r="W6" s="62">
        <f t="shared" si="2"/>
        <v>0</v>
      </c>
      <c r="X6" s="62">
        <f t="shared" si="2"/>
        <v>0</v>
      </c>
      <c r="Y6" s="62">
        <f t="shared" si="2"/>
        <v>0</v>
      </c>
      <c r="Z6" s="62">
        <f t="shared" si="2"/>
        <v>0</v>
      </c>
      <c r="AA6" s="62">
        <f t="shared" si="2"/>
        <v>0</v>
      </c>
      <c r="AB6" s="62">
        <f t="shared" si="2"/>
        <v>0</v>
      </c>
      <c r="AC6" s="62">
        <f t="shared" si="2"/>
        <v>0</v>
      </c>
      <c r="AD6" s="62">
        <f t="shared" si="2"/>
        <v>0</v>
      </c>
      <c r="AE6" s="62">
        <f t="shared" si="2"/>
        <v>0</v>
      </c>
      <c r="AF6" s="62">
        <f t="shared" si="2"/>
        <v>0</v>
      </c>
      <c r="AG6" s="62">
        <f t="shared" si="2"/>
        <v>0</v>
      </c>
      <c r="AH6" s="62">
        <f t="shared" si="2"/>
        <v>0</v>
      </c>
      <c r="AI6" s="62">
        <f t="shared" si="2"/>
        <v>0</v>
      </c>
      <c r="AJ6" s="62">
        <f t="shared" si="2"/>
        <v>0</v>
      </c>
      <c r="AK6" s="62">
        <f t="shared" si="2"/>
        <v>0</v>
      </c>
      <c r="AL6" s="62">
        <f t="shared" si="2"/>
        <v>0</v>
      </c>
      <c r="AM6" s="62">
        <f t="shared" si="2"/>
        <v>0</v>
      </c>
      <c r="AN6" s="62">
        <f t="shared" si="2"/>
        <v>0</v>
      </c>
      <c r="AO6" s="62">
        <f t="shared" si="2"/>
        <v>0</v>
      </c>
      <c r="AP6" s="62">
        <f t="shared" si="2"/>
        <v>0</v>
      </c>
      <c r="AQ6" s="62">
        <f t="shared" si="2"/>
        <v>0</v>
      </c>
      <c r="AR6" s="5"/>
      <c r="AS6" s="6"/>
      <c r="AT6" s="6"/>
      <c r="AU6" s="6"/>
    </row>
    <row r="7" spans="1:47" ht="21" customHeight="1">
      <c r="A7" s="61" t="s">
        <v>238</v>
      </c>
      <c r="B7" s="252">
        <f>B13</f>
        <v>0</v>
      </c>
      <c r="C7" s="63">
        <f>SUM(H7:S7)</f>
        <v>0</v>
      </c>
      <c r="D7" s="63">
        <f>SUM(T7:AE7)</f>
        <v>0</v>
      </c>
      <c r="E7" s="63">
        <f>SUM(AF7:AQ7)</f>
        <v>0</v>
      </c>
      <c r="F7" s="64" t="e">
        <f t="shared" si="1"/>
        <v>#DIV/0!</v>
      </c>
      <c r="G7" s="64" t="e">
        <f t="shared" si="1"/>
        <v>#DIV/0!</v>
      </c>
      <c r="H7" s="62">
        <f>H13</f>
        <v>0</v>
      </c>
      <c r="I7" s="62">
        <f t="shared" ref="I7:AQ7" si="3">I13</f>
        <v>0</v>
      </c>
      <c r="J7" s="62">
        <f t="shared" si="3"/>
        <v>0</v>
      </c>
      <c r="K7" s="62">
        <f t="shared" si="3"/>
        <v>0</v>
      </c>
      <c r="L7" s="62">
        <f t="shared" si="3"/>
        <v>0</v>
      </c>
      <c r="M7" s="62">
        <f t="shared" si="3"/>
        <v>0</v>
      </c>
      <c r="N7" s="62">
        <f t="shared" si="3"/>
        <v>0</v>
      </c>
      <c r="O7" s="62">
        <f t="shared" si="3"/>
        <v>0</v>
      </c>
      <c r="P7" s="62">
        <f t="shared" si="3"/>
        <v>0</v>
      </c>
      <c r="Q7" s="62">
        <f t="shared" si="3"/>
        <v>0</v>
      </c>
      <c r="R7" s="62">
        <f t="shared" si="3"/>
        <v>0</v>
      </c>
      <c r="S7" s="62">
        <f t="shared" si="3"/>
        <v>0</v>
      </c>
      <c r="T7" s="62">
        <f t="shared" si="3"/>
        <v>0</v>
      </c>
      <c r="U7" s="62">
        <f t="shared" si="3"/>
        <v>0</v>
      </c>
      <c r="V7" s="62">
        <f t="shared" si="3"/>
        <v>0</v>
      </c>
      <c r="W7" s="62">
        <f t="shared" si="3"/>
        <v>0</v>
      </c>
      <c r="X7" s="62">
        <f t="shared" si="3"/>
        <v>0</v>
      </c>
      <c r="Y7" s="62">
        <f t="shared" si="3"/>
        <v>0</v>
      </c>
      <c r="Z7" s="62">
        <f t="shared" si="3"/>
        <v>0</v>
      </c>
      <c r="AA7" s="62">
        <f t="shared" si="3"/>
        <v>0</v>
      </c>
      <c r="AB7" s="62">
        <f t="shared" si="3"/>
        <v>0</v>
      </c>
      <c r="AC7" s="62">
        <f t="shared" si="3"/>
        <v>0</v>
      </c>
      <c r="AD7" s="62">
        <f t="shared" si="3"/>
        <v>0</v>
      </c>
      <c r="AE7" s="62">
        <f t="shared" si="3"/>
        <v>0</v>
      </c>
      <c r="AF7" s="62">
        <f t="shared" si="3"/>
        <v>0</v>
      </c>
      <c r="AG7" s="62">
        <f t="shared" si="3"/>
        <v>0</v>
      </c>
      <c r="AH7" s="62">
        <f t="shared" si="3"/>
        <v>0</v>
      </c>
      <c r="AI7" s="62">
        <f t="shared" si="3"/>
        <v>0</v>
      </c>
      <c r="AJ7" s="62">
        <f t="shared" si="3"/>
        <v>0</v>
      </c>
      <c r="AK7" s="62">
        <f t="shared" si="3"/>
        <v>0</v>
      </c>
      <c r="AL7" s="62">
        <f t="shared" si="3"/>
        <v>0</v>
      </c>
      <c r="AM7" s="62">
        <f t="shared" si="3"/>
        <v>0</v>
      </c>
      <c r="AN7" s="62">
        <f t="shared" si="3"/>
        <v>0</v>
      </c>
      <c r="AO7" s="62">
        <f t="shared" si="3"/>
        <v>0</v>
      </c>
      <c r="AP7" s="62">
        <f t="shared" si="3"/>
        <v>0</v>
      </c>
      <c r="AQ7" s="62">
        <f t="shared" si="3"/>
        <v>0</v>
      </c>
      <c r="AR7" s="5"/>
      <c r="AS7" s="6"/>
      <c r="AT7" s="6"/>
      <c r="AU7" s="6"/>
    </row>
    <row r="8" spans="1:47" s="11" customFormat="1" collapsed="1">
      <c r="A8" s="7" t="s">
        <v>146</v>
      </c>
      <c r="B8" s="8"/>
      <c r="C8" s="40">
        <f>AVERAGEIF($H$4:$AQ$4,C4,$H8:$AQ8)</f>
        <v>0.43999999999999995</v>
      </c>
      <c r="D8" s="40">
        <f>AVERAGEIF($H$4:$AQ$4,$D$4,$H8:$AQ8)</f>
        <v>0.67333333333333334</v>
      </c>
      <c r="E8" s="40">
        <f>AVERAGEIF($H$4:$AQ$4,$E$4,$H8:$AQ8)</f>
        <v>0.8849999999999999</v>
      </c>
      <c r="F8" s="9"/>
      <c r="G8" s="9"/>
      <c r="H8" s="335">
        <v>0.36</v>
      </c>
      <c r="I8" s="335">
        <v>0.36</v>
      </c>
      <c r="J8" s="335">
        <v>0.38</v>
      </c>
      <c r="K8" s="335">
        <v>0.38</v>
      </c>
      <c r="L8" s="335">
        <v>0.4</v>
      </c>
      <c r="M8" s="335">
        <v>0.4</v>
      </c>
      <c r="N8" s="335">
        <v>0.45</v>
      </c>
      <c r="O8" s="335">
        <v>0.45</v>
      </c>
      <c r="P8" s="335">
        <v>0.5</v>
      </c>
      <c r="Q8" s="335">
        <v>0.5</v>
      </c>
      <c r="R8" s="335">
        <v>0.55000000000000004</v>
      </c>
      <c r="S8" s="335">
        <v>0.55000000000000004</v>
      </c>
      <c r="T8" s="335">
        <v>0.6</v>
      </c>
      <c r="U8" s="335">
        <v>0.6</v>
      </c>
      <c r="V8" s="335">
        <v>0.63</v>
      </c>
      <c r="W8" s="335">
        <v>0.63</v>
      </c>
      <c r="X8" s="335">
        <v>0.65</v>
      </c>
      <c r="Y8" s="335">
        <v>0.65</v>
      </c>
      <c r="Z8" s="335">
        <v>0.68</v>
      </c>
      <c r="AA8" s="335">
        <v>0.68</v>
      </c>
      <c r="AB8" s="335">
        <v>0.7</v>
      </c>
      <c r="AC8" s="335">
        <v>0.7</v>
      </c>
      <c r="AD8" s="335">
        <v>0.78</v>
      </c>
      <c r="AE8" s="335">
        <v>0.78</v>
      </c>
      <c r="AF8" s="335">
        <v>0.8</v>
      </c>
      <c r="AG8" s="335">
        <v>0.8</v>
      </c>
      <c r="AH8" s="335">
        <v>0.83</v>
      </c>
      <c r="AI8" s="335">
        <v>0.83</v>
      </c>
      <c r="AJ8" s="335">
        <v>0.85</v>
      </c>
      <c r="AK8" s="335">
        <v>0.85</v>
      </c>
      <c r="AL8" s="335">
        <v>0.88</v>
      </c>
      <c r="AM8" s="335">
        <v>0.9</v>
      </c>
      <c r="AN8" s="335">
        <v>0.93</v>
      </c>
      <c r="AO8" s="335">
        <v>0.95</v>
      </c>
      <c r="AP8" s="335">
        <v>1</v>
      </c>
      <c r="AQ8" s="335">
        <v>1</v>
      </c>
      <c r="AR8" s="10"/>
    </row>
    <row r="9" spans="1:47" ht="20.25" customHeight="1">
      <c r="A9" s="333" t="s">
        <v>302</v>
      </c>
      <c r="B9" s="354"/>
      <c r="C9" s="13">
        <f>SUM(H9:S9)</f>
        <v>0</v>
      </c>
      <c r="D9" s="13">
        <f>SUM(T9:AE9)</f>
        <v>0</v>
      </c>
      <c r="E9" s="13">
        <f>SUM(AF9:AQ9)</f>
        <v>0</v>
      </c>
      <c r="F9" s="14" t="e">
        <f t="shared" ref="F9:G13" si="4">D9/C9-1</f>
        <v>#DIV/0!</v>
      </c>
      <c r="G9" s="14" t="e">
        <f t="shared" si="4"/>
        <v>#DIV/0!</v>
      </c>
      <c r="H9" s="55">
        <f>$B$9*H8</f>
        <v>0</v>
      </c>
      <c r="I9" s="55">
        <f t="shared" ref="I9:AQ9" si="5">$B$9*I8</f>
        <v>0</v>
      </c>
      <c r="J9" s="55">
        <f t="shared" si="5"/>
        <v>0</v>
      </c>
      <c r="K9" s="55">
        <f t="shared" si="5"/>
        <v>0</v>
      </c>
      <c r="L9" s="55">
        <f t="shared" si="5"/>
        <v>0</v>
      </c>
      <c r="M9" s="55">
        <f t="shared" si="5"/>
        <v>0</v>
      </c>
      <c r="N9" s="55">
        <f t="shared" si="5"/>
        <v>0</v>
      </c>
      <c r="O9" s="55">
        <f t="shared" si="5"/>
        <v>0</v>
      </c>
      <c r="P9" s="55">
        <f t="shared" si="5"/>
        <v>0</v>
      </c>
      <c r="Q9" s="55">
        <f t="shared" si="5"/>
        <v>0</v>
      </c>
      <c r="R9" s="55">
        <f t="shared" si="5"/>
        <v>0</v>
      </c>
      <c r="S9" s="55">
        <f t="shared" si="5"/>
        <v>0</v>
      </c>
      <c r="T9" s="55">
        <f t="shared" si="5"/>
        <v>0</v>
      </c>
      <c r="U9" s="55">
        <f t="shared" si="5"/>
        <v>0</v>
      </c>
      <c r="V9" s="55">
        <f t="shared" si="5"/>
        <v>0</v>
      </c>
      <c r="W9" s="55">
        <f t="shared" si="5"/>
        <v>0</v>
      </c>
      <c r="X9" s="55">
        <f t="shared" si="5"/>
        <v>0</v>
      </c>
      <c r="Y9" s="55">
        <f t="shared" si="5"/>
        <v>0</v>
      </c>
      <c r="Z9" s="55">
        <f>$B$9*Z8</f>
        <v>0</v>
      </c>
      <c r="AA9" s="55">
        <f t="shared" si="5"/>
        <v>0</v>
      </c>
      <c r="AB9" s="55">
        <f t="shared" si="5"/>
        <v>0</v>
      </c>
      <c r="AC9" s="55">
        <f t="shared" si="5"/>
        <v>0</v>
      </c>
      <c r="AD9" s="55">
        <f t="shared" si="5"/>
        <v>0</v>
      </c>
      <c r="AE9" s="55">
        <f t="shared" si="5"/>
        <v>0</v>
      </c>
      <c r="AF9" s="55">
        <f t="shared" si="5"/>
        <v>0</v>
      </c>
      <c r="AG9" s="55">
        <f t="shared" si="5"/>
        <v>0</v>
      </c>
      <c r="AH9" s="55">
        <f t="shared" si="5"/>
        <v>0</v>
      </c>
      <c r="AI9" s="55">
        <f t="shared" si="5"/>
        <v>0</v>
      </c>
      <c r="AJ9" s="55">
        <f t="shared" si="5"/>
        <v>0</v>
      </c>
      <c r="AK9" s="55">
        <f t="shared" si="5"/>
        <v>0</v>
      </c>
      <c r="AL9" s="55">
        <f t="shared" si="5"/>
        <v>0</v>
      </c>
      <c r="AM9" s="55">
        <f t="shared" si="5"/>
        <v>0</v>
      </c>
      <c r="AN9" s="55">
        <f t="shared" si="5"/>
        <v>0</v>
      </c>
      <c r="AO9" s="55">
        <f t="shared" si="5"/>
        <v>0</v>
      </c>
      <c r="AP9" s="55">
        <f t="shared" si="5"/>
        <v>0</v>
      </c>
      <c r="AQ9" s="55">
        <f t="shared" si="5"/>
        <v>0</v>
      </c>
      <c r="AR9" s="15"/>
      <c r="AT9" s="16"/>
      <c r="AU9" s="16"/>
    </row>
    <row r="10" spans="1:47" ht="20.25" customHeight="1">
      <c r="A10" s="12" t="s">
        <v>266</v>
      </c>
      <c r="B10" s="354"/>
      <c r="C10" s="13">
        <f>SUM(H10:S10)</f>
        <v>0</v>
      </c>
      <c r="D10" s="13">
        <f>SUM(T10:AE10)</f>
        <v>0</v>
      </c>
      <c r="E10" s="13">
        <f>SUM(AF10:AQ10)</f>
        <v>0</v>
      </c>
      <c r="F10" s="253" t="e">
        <f t="shared" si="4"/>
        <v>#DIV/0!</v>
      </c>
      <c r="G10" s="253" t="e">
        <f t="shared" si="4"/>
        <v>#DIV/0!</v>
      </c>
      <c r="H10" s="55">
        <f>$B$10*H8</f>
        <v>0</v>
      </c>
      <c r="I10" s="55">
        <f t="shared" ref="I10:AQ10" si="6">$B$10*I8</f>
        <v>0</v>
      </c>
      <c r="J10" s="55">
        <f t="shared" si="6"/>
        <v>0</v>
      </c>
      <c r="K10" s="55">
        <f t="shared" si="6"/>
        <v>0</v>
      </c>
      <c r="L10" s="55">
        <f t="shared" si="6"/>
        <v>0</v>
      </c>
      <c r="M10" s="55">
        <f t="shared" si="6"/>
        <v>0</v>
      </c>
      <c r="N10" s="55">
        <f t="shared" si="6"/>
        <v>0</v>
      </c>
      <c r="O10" s="55">
        <f t="shared" si="6"/>
        <v>0</v>
      </c>
      <c r="P10" s="55">
        <f t="shared" si="6"/>
        <v>0</v>
      </c>
      <c r="Q10" s="55">
        <f t="shared" si="6"/>
        <v>0</v>
      </c>
      <c r="R10" s="55">
        <f t="shared" si="6"/>
        <v>0</v>
      </c>
      <c r="S10" s="55">
        <f t="shared" si="6"/>
        <v>0</v>
      </c>
      <c r="T10" s="55">
        <f t="shared" si="6"/>
        <v>0</v>
      </c>
      <c r="U10" s="55">
        <f t="shared" si="6"/>
        <v>0</v>
      </c>
      <c r="V10" s="55">
        <f t="shared" si="6"/>
        <v>0</v>
      </c>
      <c r="W10" s="55">
        <f t="shared" si="6"/>
        <v>0</v>
      </c>
      <c r="X10" s="55">
        <f t="shared" si="6"/>
        <v>0</v>
      </c>
      <c r="Y10" s="55">
        <f t="shared" si="6"/>
        <v>0</v>
      </c>
      <c r="Z10" s="55">
        <f t="shared" si="6"/>
        <v>0</v>
      </c>
      <c r="AA10" s="55">
        <f t="shared" si="6"/>
        <v>0</v>
      </c>
      <c r="AB10" s="55">
        <f t="shared" si="6"/>
        <v>0</v>
      </c>
      <c r="AC10" s="55">
        <f t="shared" si="6"/>
        <v>0</v>
      </c>
      <c r="AD10" s="55">
        <f t="shared" si="6"/>
        <v>0</v>
      </c>
      <c r="AE10" s="55">
        <f t="shared" si="6"/>
        <v>0</v>
      </c>
      <c r="AF10" s="55">
        <f t="shared" si="6"/>
        <v>0</v>
      </c>
      <c r="AG10" s="55">
        <f t="shared" si="6"/>
        <v>0</v>
      </c>
      <c r="AH10" s="55">
        <f t="shared" si="6"/>
        <v>0</v>
      </c>
      <c r="AI10" s="55">
        <f t="shared" si="6"/>
        <v>0</v>
      </c>
      <c r="AJ10" s="55">
        <f t="shared" si="6"/>
        <v>0</v>
      </c>
      <c r="AK10" s="55">
        <f t="shared" si="6"/>
        <v>0</v>
      </c>
      <c r="AL10" s="55">
        <f t="shared" si="6"/>
        <v>0</v>
      </c>
      <c r="AM10" s="55">
        <f t="shared" si="6"/>
        <v>0</v>
      </c>
      <c r="AN10" s="55">
        <f t="shared" si="6"/>
        <v>0</v>
      </c>
      <c r="AO10" s="55">
        <f t="shared" si="6"/>
        <v>0</v>
      </c>
      <c r="AP10" s="55">
        <f t="shared" si="6"/>
        <v>0</v>
      </c>
      <c r="AQ10" s="55">
        <f t="shared" si="6"/>
        <v>0</v>
      </c>
      <c r="AR10" s="15"/>
      <c r="AT10" s="16"/>
      <c r="AU10" s="16"/>
    </row>
    <row r="11" spans="1:47" ht="20.25" customHeight="1">
      <c r="A11" s="12" t="s">
        <v>236</v>
      </c>
      <c r="B11" s="354"/>
      <c r="C11" s="13">
        <f>SUM(H11:S11)</f>
        <v>0</v>
      </c>
      <c r="D11" s="13">
        <f>SUM(T11:AE11)</f>
        <v>0</v>
      </c>
      <c r="E11" s="13">
        <f>SUM(AF11:AQ11)</f>
        <v>0</v>
      </c>
      <c r="F11" s="14" t="e">
        <f t="shared" si="4"/>
        <v>#DIV/0!</v>
      </c>
      <c r="G11" s="14" t="e">
        <f t="shared" si="4"/>
        <v>#DIV/0!</v>
      </c>
      <c r="H11" s="55">
        <f>$B$11*H8</f>
        <v>0</v>
      </c>
      <c r="I11" s="55">
        <f>$B$11*I8</f>
        <v>0</v>
      </c>
      <c r="J11" s="55">
        <f t="shared" ref="J11:AQ11" si="7">$B$11*J8</f>
        <v>0</v>
      </c>
      <c r="K11" s="55">
        <f t="shared" si="7"/>
        <v>0</v>
      </c>
      <c r="L11" s="55">
        <f t="shared" si="7"/>
        <v>0</v>
      </c>
      <c r="M11" s="55">
        <f t="shared" si="7"/>
        <v>0</v>
      </c>
      <c r="N11" s="55">
        <f t="shared" si="7"/>
        <v>0</v>
      </c>
      <c r="O11" s="55">
        <f t="shared" si="7"/>
        <v>0</v>
      </c>
      <c r="P11" s="55">
        <f t="shared" si="7"/>
        <v>0</v>
      </c>
      <c r="Q11" s="55">
        <f t="shared" si="7"/>
        <v>0</v>
      </c>
      <c r="R11" s="55">
        <f t="shared" si="7"/>
        <v>0</v>
      </c>
      <c r="S11" s="55">
        <f t="shared" si="7"/>
        <v>0</v>
      </c>
      <c r="T11" s="55">
        <f t="shared" si="7"/>
        <v>0</v>
      </c>
      <c r="U11" s="55">
        <f t="shared" si="7"/>
        <v>0</v>
      </c>
      <c r="V11" s="55">
        <f t="shared" si="7"/>
        <v>0</v>
      </c>
      <c r="W11" s="55">
        <f t="shared" si="7"/>
        <v>0</v>
      </c>
      <c r="X11" s="55">
        <f t="shared" si="7"/>
        <v>0</v>
      </c>
      <c r="Y11" s="55">
        <f t="shared" si="7"/>
        <v>0</v>
      </c>
      <c r="Z11" s="55">
        <f>$B$11*Z8</f>
        <v>0</v>
      </c>
      <c r="AA11" s="55">
        <f t="shared" si="7"/>
        <v>0</v>
      </c>
      <c r="AB11" s="55">
        <f t="shared" si="7"/>
        <v>0</v>
      </c>
      <c r="AC11" s="55">
        <f t="shared" si="7"/>
        <v>0</v>
      </c>
      <c r="AD11" s="55">
        <f t="shared" si="7"/>
        <v>0</v>
      </c>
      <c r="AE11" s="55">
        <f t="shared" si="7"/>
        <v>0</v>
      </c>
      <c r="AF11" s="55">
        <f t="shared" si="7"/>
        <v>0</v>
      </c>
      <c r="AG11" s="55">
        <f t="shared" si="7"/>
        <v>0</v>
      </c>
      <c r="AH11" s="55">
        <f t="shared" si="7"/>
        <v>0</v>
      </c>
      <c r="AI11" s="55">
        <f t="shared" si="7"/>
        <v>0</v>
      </c>
      <c r="AJ11" s="55">
        <f t="shared" si="7"/>
        <v>0</v>
      </c>
      <c r="AK11" s="55">
        <f>$B$11*AK8</f>
        <v>0</v>
      </c>
      <c r="AL11" s="55">
        <f t="shared" si="7"/>
        <v>0</v>
      </c>
      <c r="AM11" s="55">
        <f t="shared" si="7"/>
        <v>0</v>
      </c>
      <c r="AN11" s="55">
        <f t="shared" si="7"/>
        <v>0</v>
      </c>
      <c r="AO11" s="55">
        <f t="shared" si="7"/>
        <v>0</v>
      </c>
      <c r="AP11" s="55">
        <f t="shared" si="7"/>
        <v>0</v>
      </c>
      <c r="AQ11" s="55">
        <f t="shared" si="7"/>
        <v>0</v>
      </c>
      <c r="AR11" s="15"/>
      <c r="AT11" s="16"/>
      <c r="AU11" s="16"/>
    </row>
    <row r="12" spans="1:47" ht="20.25" customHeight="1">
      <c r="A12" s="12" t="s">
        <v>229</v>
      </c>
      <c r="B12" s="354"/>
      <c r="C12" s="13">
        <f>SUM(H12:S12)</f>
        <v>0</v>
      </c>
      <c r="D12" s="13">
        <f>SUM(T12:AE12)</f>
        <v>0</v>
      </c>
      <c r="E12" s="13">
        <f>SUM(AF12:AQ12)</f>
        <v>0</v>
      </c>
      <c r="F12" s="14" t="e">
        <f t="shared" si="4"/>
        <v>#DIV/0!</v>
      </c>
      <c r="G12" s="14" t="e">
        <f t="shared" si="4"/>
        <v>#DIV/0!</v>
      </c>
      <c r="H12" s="55">
        <f>$B$12*H8</f>
        <v>0</v>
      </c>
      <c r="I12" s="55">
        <f t="shared" ref="I12:AQ12" si="8">$B$12*I8</f>
        <v>0</v>
      </c>
      <c r="J12" s="55">
        <f t="shared" si="8"/>
        <v>0</v>
      </c>
      <c r="K12" s="55">
        <f t="shared" si="8"/>
        <v>0</v>
      </c>
      <c r="L12" s="55">
        <f t="shared" si="8"/>
        <v>0</v>
      </c>
      <c r="M12" s="55">
        <f t="shared" si="8"/>
        <v>0</v>
      </c>
      <c r="N12" s="55">
        <f t="shared" si="8"/>
        <v>0</v>
      </c>
      <c r="O12" s="55">
        <f t="shared" si="8"/>
        <v>0</v>
      </c>
      <c r="P12" s="55">
        <f t="shared" si="8"/>
        <v>0</v>
      </c>
      <c r="Q12" s="55">
        <f t="shared" si="8"/>
        <v>0</v>
      </c>
      <c r="R12" s="55">
        <f t="shared" si="8"/>
        <v>0</v>
      </c>
      <c r="S12" s="55">
        <f t="shared" si="8"/>
        <v>0</v>
      </c>
      <c r="T12" s="55">
        <f t="shared" si="8"/>
        <v>0</v>
      </c>
      <c r="U12" s="55">
        <f t="shared" si="8"/>
        <v>0</v>
      </c>
      <c r="V12" s="55">
        <f t="shared" si="8"/>
        <v>0</v>
      </c>
      <c r="W12" s="55">
        <f t="shared" si="8"/>
        <v>0</v>
      </c>
      <c r="X12" s="55">
        <f>$B$12*X8</f>
        <v>0</v>
      </c>
      <c r="Y12" s="55">
        <f t="shared" si="8"/>
        <v>0</v>
      </c>
      <c r="Z12" s="55">
        <f>$B$12*Z8</f>
        <v>0</v>
      </c>
      <c r="AA12" s="55">
        <f t="shared" si="8"/>
        <v>0</v>
      </c>
      <c r="AB12" s="55">
        <f t="shared" si="8"/>
        <v>0</v>
      </c>
      <c r="AC12" s="55">
        <f t="shared" si="8"/>
        <v>0</v>
      </c>
      <c r="AD12" s="55">
        <f t="shared" si="8"/>
        <v>0</v>
      </c>
      <c r="AE12" s="55">
        <f t="shared" si="8"/>
        <v>0</v>
      </c>
      <c r="AF12" s="55">
        <f t="shared" si="8"/>
        <v>0</v>
      </c>
      <c r="AG12" s="55">
        <f t="shared" si="8"/>
        <v>0</v>
      </c>
      <c r="AH12" s="55">
        <f t="shared" si="8"/>
        <v>0</v>
      </c>
      <c r="AI12" s="55">
        <f t="shared" si="8"/>
        <v>0</v>
      </c>
      <c r="AJ12" s="55">
        <f t="shared" si="8"/>
        <v>0</v>
      </c>
      <c r="AK12" s="55">
        <f t="shared" si="8"/>
        <v>0</v>
      </c>
      <c r="AL12" s="55">
        <f t="shared" si="8"/>
        <v>0</v>
      </c>
      <c r="AM12" s="55">
        <f t="shared" si="8"/>
        <v>0</v>
      </c>
      <c r="AN12" s="55">
        <f t="shared" si="8"/>
        <v>0</v>
      </c>
      <c r="AO12" s="55">
        <f t="shared" si="8"/>
        <v>0</v>
      </c>
      <c r="AP12" s="55">
        <f t="shared" si="8"/>
        <v>0</v>
      </c>
      <c r="AQ12" s="55">
        <f t="shared" si="8"/>
        <v>0</v>
      </c>
      <c r="AR12" s="15"/>
      <c r="AT12" s="16"/>
      <c r="AU12" s="16"/>
    </row>
    <row r="13" spans="1:47" ht="19.5" customHeight="1">
      <c r="A13" s="12" t="s">
        <v>268</v>
      </c>
      <c r="B13" s="354"/>
      <c r="C13" s="13">
        <f>SUM(H13:S13)</f>
        <v>0</v>
      </c>
      <c r="D13" s="13">
        <f>SUM(T13:AE13)</f>
        <v>0</v>
      </c>
      <c r="E13" s="13">
        <f>SUM(AF13:AQ13)</f>
        <v>0</v>
      </c>
      <c r="F13" s="14" t="e">
        <f t="shared" si="4"/>
        <v>#DIV/0!</v>
      </c>
      <c r="G13" s="14" t="e">
        <f t="shared" si="4"/>
        <v>#DIV/0!</v>
      </c>
      <c r="H13" s="55">
        <f>$B$13*H8</f>
        <v>0</v>
      </c>
      <c r="I13" s="55">
        <f t="shared" ref="I13:AQ13" si="9">$B$13*I8</f>
        <v>0</v>
      </c>
      <c r="J13" s="55">
        <f t="shared" si="9"/>
        <v>0</v>
      </c>
      <c r="K13" s="55">
        <f t="shared" si="9"/>
        <v>0</v>
      </c>
      <c r="L13" s="55">
        <f t="shared" si="9"/>
        <v>0</v>
      </c>
      <c r="M13" s="55">
        <f t="shared" si="9"/>
        <v>0</v>
      </c>
      <c r="N13" s="55">
        <f>$B$13*N8</f>
        <v>0</v>
      </c>
      <c r="O13" s="55">
        <f t="shared" si="9"/>
        <v>0</v>
      </c>
      <c r="P13" s="55">
        <f t="shared" si="9"/>
        <v>0</v>
      </c>
      <c r="Q13" s="55">
        <f t="shared" si="9"/>
        <v>0</v>
      </c>
      <c r="R13" s="55">
        <f t="shared" si="9"/>
        <v>0</v>
      </c>
      <c r="S13" s="55">
        <f t="shared" si="9"/>
        <v>0</v>
      </c>
      <c r="T13" s="55">
        <f t="shared" si="9"/>
        <v>0</v>
      </c>
      <c r="U13" s="55">
        <f t="shared" si="9"/>
        <v>0</v>
      </c>
      <c r="V13" s="55">
        <f t="shared" si="9"/>
        <v>0</v>
      </c>
      <c r="W13" s="55">
        <f t="shared" si="9"/>
        <v>0</v>
      </c>
      <c r="X13" s="55">
        <f t="shared" si="9"/>
        <v>0</v>
      </c>
      <c r="Y13" s="55">
        <f t="shared" si="9"/>
        <v>0</v>
      </c>
      <c r="Z13" s="55">
        <f t="shared" si="9"/>
        <v>0</v>
      </c>
      <c r="AA13" s="55">
        <f t="shared" si="9"/>
        <v>0</v>
      </c>
      <c r="AB13" s="55">
        <f t="shared" si="9"/>
        <v>0</v>
      </c>
      <c r="AC13" s="55">
        <f t="shared" si="9"/>
        <v>0</v>
      </c>
      <c r="AD13" s="55">
        <f t="shared" si="9"/>
        <v>0</v>
      </c>
      <c r="AE13" s="55">
        <f t="shared" si="9"/>
        <v>0</v>
      </c>
      <c r="AF13" s="55">
        <f t="shared" si="9"/>
        <v>0</v>
      </c>
      <c r="AG13" s="55">
        <f t="shared" si="9"/>
        <v>0</v>
      </c>
      <c r="AH13" s="55">
        <f t="shared" si="9"/>
        <v>0</v>
      </c>
      <c r="AI13" s="55">
        <f t="shared" si="9"/>
        <v>0</v>
      </c>
      <c r="AJ13" s="55">
        <f t="shared" si="9"/>
        <v>0</v>
      </c>
      <c r="AK13" s="55">
        <f t="shared" si="9"/>
        <v>0</v>
      </c>
      <c r="AL13" s="55">
        <f t="shared" si="9"/>
        <v>0</v>
      </c>
      <c r="AM13" s="55">
        <f t="shared" si="9"/>
        <v>0</v>
      </c>
      <c r="AN13" s="55">
        <f t="shared" si="9"/>
        <v>0</v>
      </c>
      <c r="AO13" s="55">
        <f t="shared" si="9"/>
        <v>0</v>
      </c>
      <c r="AP13" s="55">
        <f t="shared" si="9"/>
        <v>0</v>
      </c>
      <c r="AQ13" s="55">
        <f t="shared" si="9"/>
        <v>0</v>
      </c>
      <c r="AR13" s="15"/>
      <c r="AT13" s="16"/>
      <c r="AU13" s="16"/>
    </row>
    <row r="14" spans="1:47" ht="19.5" customHeight="1">
      <c r="A14" s="12"/>
      <c r="B14" s="52"/>
      <c r="C14" s="13"/>
      <c r="D14" s="13"/>
      <c r="E14" s="13"/>
      <c r="F14" s="14"/>
      <c r="G14" s="1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15"/>
      <c r="AT14" s="16"/>
      <c r="AU14" s="16"/>
    </row>
    <row r="15" spans="1:47">
      <c r="C15" s="350">
        <f>C5/'Revenue OFT_2'!E9</f>
        <v>0</v>
      </c>
      <c r="D15" s="350">
        <f>D5/'Revenue OFT_2'!F9</f>
        <v>0</v>
      </c>
      <c r="E15" s="350">
        <f>E5/'Revenue OFT_2'!G9</f>
        <v>0</v>
      </c>
    </row>
    <row r="17" spans="1:43">
      <c r="A17" s="17" t="s">
        <v>317</v>
      </c>
      <c r="C17" s="351"/>
      <c r="H17" s="353"/>
    </row>
    <row r="18" spans="1:43">
      <c r="A18" s="333" t="s">
        <v>302</v>
      </c>
      <c r="B18" s="352">
        <v>0.16669999999999999</v>
      </c>
      <c r="H18" s="55">
        <f>H9*$B$18</f>
        <v>0</v>
      </c>
      <c r="I18" s="55">
        <f t="shared" ref="I18:AQ18" si="10">I9*$B$18</f>
        <v>0</v>
      </c>
      <c r="J18" s="55">
        <f t="shared" si="10"/>
        <v>0</v>
      </c>
      <c r="K18" s="55">
        <f t="shared" si="10"/>
        <v>0</v>
      </c>
      <c r="L18" s="55">
        <f t="shared" si="10"/>
        <v>0</v>
      </c>
      <c r="M18" s="55">
        <f t="shared" si="10"/>
        <v>0</v>
      </c>
      <c r="N18" s="55">
        <f t="shared" si="10"/>
        <v>0</v>
      </c>
      <c r="O18" s="55">
        <f t="shared" si="10"/>
        <v>0</v>
      </c>
      <c r="P18" s="55">
        <f t="shared" si="10"/>
        <v>0</v>
      </c>
      <c r="Q18" s="55">
        <f t="shared" si="10"/>
        <v>0</v>
      </c>
      <c r="R18" s="55">
        <f t="shared" si="10"/>
        <v>0</v>
      </c>
      <c r="S18" s="55">
        <f t="shared" si="10"/>
        <v>0</v>
      </c>
      <c r="T18" s="55">
        <f t="shared" si="10"/>
        <v>0</v>
      </c>
      <c r="U18" s="55">
        <f t="shared" si="10"/>
        <v>0</v>
      </c>
      <c r="V18" s="55">
        <f t="shared" si="10"/>
        <v>0</v>
      </c>
      <c r="W18" s="55">
        <f t="shared" si="10"/>
        <v>0</v>
      </c>
      <c r="X18" s="55">
        <f t="shared" si="10"/>
        <v>0</v>
      </c>
      <c r="Y18" s="55">
        <f t="shared" si="10"/>
        <v>0</v>
      </c>
      <c r="Z18" s="55">
        <f t="shared" si="10"/>
        <v>0</v>
      </c>
      <c r="AA18" s="55">
        <f t="shared" si="10"/>
        <v>0</v>
      </c>
      <c r="AB18" s="55">
        <f t="shared" si="10"/>
        <v>0</v>
      </c>
      <c r="AC18" s="55">
        <f t="shared" si="10"/>
        <v>0</v>
      </c>
      <c r="AD18" s="55">
        <f t="shared" si="10"/>
        <v>0</v>
      </c>
      <c r="AE18" s="55">
        <f t="shared" si="10"/>
        <v>0</v>
      </c>
      <c r="AF18" s="55">
        <f t="shared" si="10"/>
        <v>0</v>
      </c>
      <c r="AG18" s="55">
        <f t="shared" si="10"/>
        <v>0</v>
      </c>
      <c r="AH18" s="55">
        <f t="shared" si="10"/>
        <v>0</v>
      </c>
      <c r="AI18" s="55">
        <f t="shared" si="10"/>
        <v>0</v>
      </c>
      <c r="AJ18" s="55">
        <f t="shared" si="10"/>
        <v>0</v>
      </c>
      <c r="AK18" s="55">
        <f t="shared" si="10"/>
        <v>0</v>
      </c>
      <c r="AL18" s="55">
        <f t="shared" si="10"/>
        <v>0</v>
      </c>
      <c r="AM18" s="55">
        <f t="shared" si="10"/>
        <v>0</v>
      </c>
      <c r="AN18" s="55">
        <f t="shared" si="10"/>
        <v>0</v>
      </c>
      <c r="AO18" s="55">
        <f t="shared" si="10"/>
        <v>0</v>
      </c>
      <c r="AP18" s="55">
        <f t="shared" si="10"/>
        <v>0</v>
      </c>
      <c r="AQ18" s="55">
        <f t="shared" si="10"/>
        <v>0</v>
      </c>
    </row>
    <row r="19" spans="1:43">
      <c r="A19" s="12" t="s">
        <v>266</v>
      </c>
      <c r="B19" s="352">
        <f>B18</f>
        <v>0.16669999999999999</v>
      </c>
      <c r="H19" s="55">
        <f>H10*$B$19</f>
        <v>0</v>
      </c>
      <c r="I19" s="55">
        <f t="shared" ref="I19:AQ19" si="11">I10*$B$19</f>
        <v>0</v>
      </c>
      <c r="J19" s="55">
        <f t="shared" si="11"/>
        <v>0</v>
      </c>
      <c r="K19" s="55">
        <f t="shared" si="11"/>
        <v>0</v>
      </c>
      <c r="L19" s="55">
        <f t="shared" si="11"/>
        <v>0</v>
      </c>
      <c r="M19" s="55">
        <f t="shared" si="11"/>
        <v>0</v>
      </c>
      <c r="N19" s="55">
        <f t="shared" si="11"/>
        <v>0</v>
      </c>
      <c r="O19" s="55">
        <f t="shared" si="11"/>
        <v>0</v>
      </c>
      <c r="P19" s="55">
        <f t="shared" si="11"/>
        <v>0</v>
      </c>
      <c r="Q19" s="55">
        <f t="shared" si="11"/>
        <v>0</v>
      </c>
      <c r="R19" s="55">
        <f t="shared" si="11"/>
        <v>0</v>
      </c>
      <c r="S19" s="55">
        <f t="shared" si="11"/>
        <v>0</v>
      </c>
      <c r="T19" s="55">
        <f t="shared" si="11"/>
        <v>0</v>
      </c>
      <c r="U19" s="55">
        <f t="shared" si="11"/>
        <v>0</v>
      </c>
      <c r="V19" s="55">
        <f t="shared" si="11"/>
        <v>0</v>
      </c>
      <c r="W19" s="55">
        <f t="shared" si="11"/>
        <v>0</v>
      </c>
      <c r="X19" s="55">
        <f t="shared" si="11"/>
        <v>0</v>
      </c>
      <c r="Y19" s="55">
        <f t="shared" si="11"/>
        <v>0</v>
      </c>
      <c r="Z19" s="55">
        <f t="shared" si="11"/>
        <v>0</v>
      </c>
      <c r="AA19" s="55">
        <f t="shared" si="11"/>
        <v>0</v>
      </c>
      <c r="AB19" s="55">
        <f t="shared" si="11"/>
        <v>0</v>
      </c>
      <c r="AC19" s="55">
        <f t="shared" si="11"/>
        <v>0</v>
      </c>
      <c r="AD19" s="55">
        <f t="shared" si="11"/>
        <v>0</v>
      </c>
      <c r="AE19" s="55">
        <f t="shared" si="11"/>
        <v>0</v>
      </c>
      <c r="AF19" s="55">
        <f t="shared" si="11"/>
        <v>0</v>
      </c>
      <c r="AG19" s="55">
        <f t="shared" si="11"/>
        <v>0</v>
      </c>
      <c r="AH19" s="55">
        <f t="shared" si="11"/>
        <v>0</v>
      </c>
      <c r="AI19" s="55">
        <f t="shared" si="11"/>
        <v>0</v>
      </c>
      <c r="AJ19" s="55">
        <f t="shared" si="11"/>
        <v>0</v>
      </c>
      <c r="AK19" s="55">
        <f t="shared" si="11"/>
        <v>0</v>
      </c>
      <c r="AL19" s="55">
        <f t="shared" si="11"/>
        <v>0</v>
      </c>
      <c r="AM19" s="55">
        <f t="shared" si="11"/>
        <v>0</v>
      </c>
      <c r="AN19" s="55">
        <f t="shared" si="11"/>
        <v>0</v>
      </c>
      <c r="AO19" s="55">
        <f t="shared" si="11"/>
        <v>0</v>
      </c>
      <c r="AP19" s="55">
        <f t="shared" si="11"/>
        <v>0</v>
      </c>
      <c r="AQ19" s="55">
        <f t="shared" si="11"/>
        <v>0</v>
      </c>
    </row>
    <row r="20" spans="1:43">
      <c r="A20" s="12" t="s">
        <v>236</v>
      </c>
      <c r="B20" s="352">
        <f t="shared" ref="B20:B22" si="12">B19</f>
        <v>0.16669999999999999</v>
      </c>
      <c r="H20" s="55">
        <f>H11*$B$20</f>
        <v>0</v>
      </c>
      <c r="I20" s="55">
        <f t="shared" ref="I20:AQ20" si="13">I11*$B$20</f>
        <v>0</v>
      </c>
      <c r="J20" s="55">
        <f t="shared" si="13"/>
        <v>0</v>
      </c>
      <c r="K20" s="55">
        <f t="shared" si="13"/>
        <v>0</v>
      </c>
      <c r="L20" s="55">
        <f t="shared" si="13"/>
        <v>0</v>
      </c>
      <c r="M20" s="55">
        <f t="shared" si="13"/>
        <v>0</v>
      </c>
      <c r="N20" s="55">
        <f t="shared" si="13"/>
        <v>0</v>
      </c>
      <c r="O20" s="55">
        <f t="shared" si="13"/>
        <v>0</v>
      </c>
      <c r="P20" s="55">
        <f t="shared" si="13"/>
        <v>0</v>
      </c>
      <c r="Q20" s="55">
        <f t="shared" si="13"/>
        <v>0</v>
      </c>
      <c r="R20" s="55">
        <f t="shared" si="13"/>
        <v>0</v>
      </c>
      <c r="S20" s="55">
        <f t="shared" si="13"/>
        <v>0</v>
      </c>
      <c r="T20" s="55">
        <f t="shared" si="13"/>
        <v>0</v>
      </c>
      <c r="U20" s="55">
        <f t="shared" si="13"/>
        <v>0</v>
      </c>
      <c r="V20" s="55">
        <f t="shared" si="13"/>
        <v>0</v>
      </c>
      <c r="W20" s="55">
        <f t="shared" si="13"/>
        <v>0</v>
      </c>
      <c r="X20" s="55">
        <f t="shared" si="13"/>
        <v>0</v>
      </c>
      <c r="Y20" s="55">
        <f t="shared" si="13"/>
        <v>0</v>
      </c>
      <c r="Z20" s="55">
        <f t="shared" si="13"/>
        <v>0</v>
      </c>
      <c r="AA20" s="55">
        <f t="shared" si="13"/>
        <v>0</v>
      </c>
      <c r="AB20" s="55">
        <f t="shared" si="13"/>
        <v>0</v>
      </c>
      <c r="AC20" s="55">
        <f t="shared" si="13"/>
        <v>0</v>
      </c>
      <c r="AD20" s="55">
        <f t="shared" si="13"/>
        <v>0</v>
      </c>
      <c r="AE20" s="55">
        <f t="shared" si="13"/>
        <v>0</v>
      </c>
      <c r="AF20" s="55">
        <f t="shared" si="13"/>
        <v>0</v>
      </c>
      <c r="AG20" s="55">
        <f t="shared" si="13"/>
        <v>0</v>
      </c>
      <c r="AH20" s="55">
        <f t="shared" si="13"/>
        <v>0</v>
      </c>
      <c r="AI20" s="55">
        <f t="shared" si="13"/>
        <v>0</v>
      </c>
      <c r="AJ20" s="55">
        <f t="shared" si="13"/>
        <v>0</v>
      </c>
      <c r="AK20" s="55">
        <f t="shared" si="13"/>
        <v>0</v>
      </c>
      <c r="AL20" s="55">
        <f t="shared" si="13"/>
        <v>0</v>
      </c>
      <c r="AM20" s="55">
        <f t="shared" si="13"/>
        <v>0</v>
      </c>
      <c r="AN20" s="55">
        <f t="shared" si="13"/>
        <v>0</v>
      </c>
      <c r="AO20" s="55">
        <f t="shared" si="13"/>
        <v>0</v>
      </c>
      <c r="AP20" s="55">
        <f t="shared" si="13"/>
        <v>0</v>
      </c>
      <c r="AQ20" s="55">
        <f t="shared" si="13"/>
        <v>0</v>
      </c>
    </row>
    <row r="21" spans="1:43">
      <c r="A21" s="12" t="s">
        <v>229</v>
      </c>
      <c r="B21" s="352">
        <f t="shared" si="12"/>
        <v>0.16669999999999999</v>
      </c>
      <c r="H21" s="55">
        <f>H12*$B$21</f>
        <v>0</v>
      </c>
      <c r="I21" s="55">
        <f t="shared" ref="I21:AQ21" si="14">I12*$B$21</f>
        <v>0</v>
      </c>
      <c r="J21" s="55">
        <f t="shared" si="14"/>
        <v>0</v>
      </c>
      <c r="K21" s="55">
        <f t="shared" si="14"/>
        <v>0</v>
      </c>
      <c r="L21" s="55">
        <f t="shared" si="14"/>
        <v>0</v>
      </c>
      <c r="M21" s="55">
        <f t="shared" si="14"/>
        <v>0</v>
      </c>
      <c r="N21" s="55">
        <f t="shared" si="14"/>
        <v>0</v>
      </c>
      <c r="O21" s="55">
        <f t="shared" si="14"/>
        <v>0</v>
      </c>
      <c r="P21" s="55">
        <f t="shared" si="14"/>
        <v>0</v>
      </c>
      <c r="Q21" s="55">
        <f t="shared" si="14"/>
        <v>0</v>
      </c>
      <c r="R21" s="55">
        <f t="shared" si="14"/>
        <v>0</v>
      </c>
      <c r="S21" s="55">
        <f t="shared" si="14"/>
        <v>0</v>
      </c>
      <c r="T21" s="55">
        <f t="shared" si="14"/>
        <v>0</v>
      </c>
      <c r="U21" s="55">
        <f t="shared" si="14"/>
        <v>0</v>
      </c>
      <c r="V21" s="55">
        <f t="shared" si="14"/>
        <v>0</v>
      </c>
      <c r="W21" s="55">
        <f t="shared" si="14"/>
        <v>0</v>
      </c>
      <c r="X21" s="55">
        <f t="shared" si="14"/>
        <v>0</v>
      </c>
      <c r="Y21" s="55">
        <f t="shared" si="14"/>
        <v>0</v>
      </c>
      <c r="Z21" s="55">
        <f t="shared" si="14"/>
        <v>0</v>
      </c>
      <c r="AA21" s="55">
        <f t="shared" si="14"/>
        <v>0</v>
      </c>
      <c r="AB21" s="55">
        <f t="shared" si="14"/>
        <v>0</v>
      </c>
      <c r="AC21" s="55">
        <f t="shared" si="14"/>
        <v>0</v>
      </c>
      <c r="AD21" s="55">
        <f t="shared" si="14"/>
        <v>0</v>
      </c>
      <c r="AE21" s="55">
        <f t="shared" si="14"/>
        <v>0</v>
      </c>
      <c r="AF21" s="55">
        <f t="shared" si="14"/>
        <v>0</v>
      </c>
      <c r="AG21" s="55">
        <f t="shared" si="14"/>
        <v>0</v>
      </c>
      <c r="AH21" s="55">
        <f t="shared" si="14"/>
        <v>0</v>
      </c>
      <c r="AI21" s="55">
        <f t="shared" si="14"/>
        <v>0</v>
      </c>
      <c r="AJ21" s="55">
        <f t="shared" si="14"/>
        <v>0</v>
      </c>
      <c r="AK21" s="55">
        <f t="shared" si="14"/>
        <v>0</v>
      </c>
      <c r="AL21" s="55">
        <f t="shared" si="14"/>
        <v>0</v>
      </c>
      <c r="AM21" s="55">
        <f t="shared" si="14"/>
        <v>0</v>
      </c>
      <c r="AN21" s="55">
        <f t="shared" si="14"/>
        <v>0</v>
      </c>
      <c r="AO21" s="55">
        <f t="shared" si="14"/>
        <v>0</v>
      </c>
      <c r="AP21" s="55">
        <f t="shared" si="14"/>
        <v>0</v>
      </c>
      <c r="AQ21" s="55">
        <f t="shared" si="14"/>
        <v>0</v>
      </c>
    </row>
    <row r="22" spans="1:43">
      <c r="A22" s="12" t="s">
        <v>268</v>
      </c>
      <c r="B22" s="352">
        <f t="shared" si="12"/>
        <v>0.16669999999999999</v>
      </c>
      <c r="H22" s="55">
        <f>H13*$B$22</f>
        <v>0</v>
      </c>
      <c r="I22" s="55">
        <f t="shared" ref="I22:AQ22" si="15">I13*$B$22</f>
        <v>0</v>
      </c>
      <c r="J22" s="55">
        <f t="shared" si="15"/>
        <v>0</v>
      </c>
      <c r="K22" s="55">
        <f t="shared" si="15"/>
        <v>0</v>
      </c>
      <c r="L22" s="55">
        <f t="shared" si="15"/>
        <v>0</v>
      </c>
      <c r="M22" s="55">
        <f t="shared" si="15"/>
        <v>0</v>
      </c>
      <c r="N22" s="55">
        <f t="shared" si="15"/>
        <v>0</v>
      </c>
      <c r="O22" s="55">
        <f t="shared" si="15"/>
        <v>0</v>
      </c>
      <c r="P22" s="55">
        <f t="shared" si="15"/>
        <v>0</v>
      </c>
      <c r="Q22" s="55">
        <f t="shared" si="15"/>
        <v>0</v>
      </c>
      <c r="R22" s="55">
        <f t="shared" si="15"/>
        <v>0</v>
      </c>
      <c r="S22" s="55">
        <f t="shared" si="15"/>
        <v>0</v>
      </c>
      <c r="T22" s="55">
        <f t="shared" si="15"/>
        <v>0</v>
      </c>
      <c r="U22" s="55">
        <f t="shared" si="15"/>
        <v>0</v>
      </c>
      <c r="V22" s="55">
        <f t="shared" si="15"/>
        <v>0</v>
      </c>
      <c r="W22" s="55">
        <f t="shared" si="15"/>
        <v>0</v>
      </c>
      <c r="X22" s="55">
        <f t="shared" si="15"/>
        <v>0</v>
      </c>
      <c r="Y22" s="55">
        <f t="shared" si="15"/>
        <v>0</v>
      </c>
      <c r="Z22" s="55">
        <f t="shared" si="15"/>
        <v>0</v>
      </c>
      <c r="AA22" s="55">
        <f t="shared" si="15"/>
        <v>0</v>
      </c>
      <c r="AB22" s="55">
        <f t="shared" si="15"/>
        <v>0</v>
      </c>
      <c r="AC22" s="55">
        <f t="shared" si="15"/>
        <v>0</v>
      </c>
      <c r="AD22" s="55">
        <f t="shared" si="15"/>
        <v>0</v>
      </c>
      <c r="AE22" s="55">
        <f t="shared" si="15"/>
        <v>0</v>
      </c>
      <c r="AF22" s="55">
        <f t="shared" si="15"/>
        <v>0</v>
      </c>
      <c r="AG22" s="55">
        <f t="shared" si="15"/>
        <v>0</v>
      </c>
      <c r="AH22" s="55">
        <f t="shared" si="15"/>
        <v>0</v>
      </c>
      <c r="AI22" s="55">
        <f t="shared" si="15"/>
        <v>0</v>
      </c>
      <c r="AJ22" s="55">
        <f t="shared" si="15"/>
        <v>0</v>
      </c>
      <c r="AK22" s="55">
        <f t="shared" si="15"/>
        <v>0</v>
      </c>
      <c r="AL22" s="55">
        <f t="shared" si="15"/>
        <v>0</v>
      </c>
      <c r="AM22" s="55">
        <f t="shared" si="15"/>
        <v>0</v>
      </c>
      <c r="AN22" s="55">
        <f t="shared" si="15"/>
        <v>0</v>
      </c>
      <c r="AO22" s="55">
        <f t="shared" si="15"/>
        <v>0</v>
      </c>
      <c r="AP22" s="55">
        <f t="shared" si="15"/>
        <v>0</v>
      </c>
      <c r="AQ22" s="55">
        <f t="shared" si="15"/>
        <v>0</v>
      </c>
    </row>
  </sheetData>
  <mergeCells count="3">
    <mergeCell ref="A1:F1"/>
    <mergeCell ref="F3:F4"/>
    <mergeCell ref="G3:G4"/>
  </mergeCells>
  <pageMargins left="0.27559055118110237" right="0.19685039370078741" top="0.35433070866141736" bottom="0.31496062992125984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W30"/>
  <sheetViews>
    <sheetView showGridLines="0" tabSelected="1" workbookViewId="0">
      <pane xSplit="2" ySplit="4" topLeftCell="C9" activePane="bottomRight" state="frozen"/>
      <selection activeCell="C16" sqref="C16"/>
      <selection pane="topRight" activeCell="C16" sqref="C16"/>
      <selection pane="bottomLeft" activeCell="C16" sqref="C16"/>
      <selection pane="bottomRight" activeCell="G16" sqref="G16:G22"/>
    </sheetView>
  </sheetViews>
  <sheetFormatPr defaultColWidth="8.88671875" defaultRowHeight="13.8" outlineLevelCol="1"/>
  <cols>
    <col min="1" max="1" width="3.109375" style="129" customWidth="1"/>
    <col min="2" max="2" width="22.44140625" style="129" customWidth="1"/>
    <col min="3" max="3" width="20.33203125" style="129" customWidth="1"/>
    <col min="4" max="6" width="10.88671875" style="129" customWidth="1"/>
    <col min="7" max="7" width="12.44140625" style="130" bestFit="1" customWidth="1"/>
    <col min="8" max="8" width="14.109375" style="131" bestFit="1" customWidth="1"/>
    <col min="9" max="9" width="13.44140625" style="129" customWidth="1"/>
    <col min="10" max="10" width="15.33203125" style="129" customWidth="1" outlineLevel="1"/>
    <col min="11" max="11" width="14.6640625" style="132" customWidth="1" outlineLevel="1"/>
    <col min="12" max="12" width="15.44140625" style="132" customWidth="1" outlineLevel="1"/>
    <col min="13" max="48" width="13.88671875" style="130" customWidth="1" outlineLevel="1"/>
    <col min="49" max="252" width="9.109375" style="129"/>
    <col min="253" max="253" width="3.109375" style="129" customWidth="1"/>
    <col min="254" max="254" width="15.88671875" style="129" customWidth="1"/>
    <col min="255" max="255" width="11.44140625" style="129" customWidth="1"/>
    <col min="256" max="257" width="16.109375" style="129" customWidth="1"/>
    <col min="258" max="258" width="12.109375" style="129" customWidth="1"/>
    <col min="259" max="259" width="7.33203125" style="129" customWidth="1"/>
    <col min="260" max="260" width="12.33203125" style="129" bestFit="1" customWidth="1"/>
    <col min="261" max="262" width="10.109375" style="129" bestFit="1" customWidth="1"/>
    <col min="263" max="263" width="9" style="129" bestFit="1" customWidth="1"/>
    <col min="264" max="264" width="8.109375" style="129" bestFit="1" customWidth="1"/>
    <col min="265" max="265" width="7.44140625" style="129" customWidth="1"/>
    <col min="266" max="266" width="10.44140625" style="129" bestFit="1" customWidth="1"/>
    <col min="267" max="269" width="9.33203125" style="129" bestFit="1" customWidth="1"/>
    <col min="270" max="270" width="9.44140625" style="129" bestFit="1" customWidth="1"/>
    <col min="271" max="272" width="9.33203125" style="129" bestFit="1" customWidth="1"/>
    <col min="273" max="273" width="10.44140625" style="129" bestFit="1" customWidth="1"/>
    <col min="274" max="275" width="9.33203125" style="129" bestFit="1" customWidth="1"/>
    <col min="276" max="276" width="9.44140625" style="129" bestFit="1" customWidth="1"/>
    <col min="277" max="277" width="9.33203125" style="129" bestFit="1" customWidth="1"/>
    <col min="278" max="278" width="10.44140625" style="129" bestFit="1" customWidth="1"/>
    <col min="279" max="508" width="9.109375" style="129"/>
    <col min="509" max="509" width="3.109375" style="129" customWidth="1"/>
    <col min="510" max="510" width="15.88671875" style="129" customWidth="1"/>
    <col min="511" max="511" width="11.44140625" style="129" customWidth="1"/>
    <col min="512" max="513" width="16.109375" style="129" customWidth="1"/>
    <col min="514" max="514" width="12.109375" style="129" customWidth="1"/>
    <col min="515" max="515" width="7.33203125" style="129" customWidth="1"/>
    <col min="516" max="516" width="12.33203125" style="129" bestFit="1" customWidth="1"/>
    <col min="517" max="518" width="10.109375" style="129" bestFit="1" customWidth="1"/>
    <col min="519" max="519" width="9" style="129" bestFit="1" customWidth="1"/>
    <col min="520" max="520" width="8.109375" style="129" bestFit="1" customWidth="1"/>
    <col min="521" max="521" width="7.44140625" style="129" customWidth="1"/>
    <col min="522" max="522" width="10.44140625" style="129" bestFit="1" customWidth="1"/>
    <col min="523" max="525" width="9.33203125" style="129" bestFit="1" customWidth="1"/>
    <col min="526" max="526" width="9.44140625" style="129" bestFit="1" customWidth="1"/>
    <col min="527" max="528" width="9.33203125" style="129" bestFit="1" customWidth="1"/>
    <col min="529" max="529" width="10.44140625" style="129" bestFit="1" customWidth="1"/>
    <col min="530" max="531" width="9.33203125" style="129" bestFit="1" customWidth="1"/>
    <col min="532" max="532" width="9.44140625" style="129" bestFit="1" customWidth="1"/>
    <col min="533" max="533" width="9.33203125" style="129" bestFit="1" customWidth="1"/>
    <col min="534" max="534" width="10.44140625" style="129" bestFit="1" customWidth="1"/>
    <col min="535" max="764" width="9.109375" style="129"/>
    <col min="765" max="765" width="3.109375" style="129" customWidth="1"/>
    <col min="766" max="766" width="15.88671875" style="129" customWidth="1"/>
    <col min="767" max="767" width="11.44140625" style="129" customWidth="1"/>
    <col min="768" max="769" width="16.109375" style="129" customWidth="1"/>
    <col min="770" max="770" width="12.109375" style="129" customWidth="1"/>
    <col min="771" max="771" width="7.33203125" style="129" customWidth="1"/>
    <col min="772" max="772" width="12.33203125" style="129" bestFit="1" customWidth="1"/>
    <col min="773" max="774" width="10.109375" style="129" bestFit="1" customWidth="1"/>
    <col min="775" max="775" width="9" style="129" bestFit="1" customWidth="1"/>
    <col min="776" max="776" width="8.109375" style="129" bestFit="1" customWidth="1"/>
    <col min="777" max="777" width="7.44140625" style="129" customWidth="1"/>
    <col min="778" max="778" width="10.44140625" style="129" bestFit="1" customWidth="1"/>
    <col min="779" max="781" width="9.33203125" style="129" bestFit="1" customWidth="1"/>
    <col min="782" max="782" width="9.44140625" style="129" bestFit="1" customWidth="1"/>
    <col min="783" max="784" width="9.33203125" style="129" bestFit="1" customWidth="1"/>
    <col min="785" max="785" width="10.44140625" style="129" bestFit="1" customWidth="1"/>
    <col min="786" max="787" width="9.33203125" style="129" bestFit="1" customWidth="1"/>
    <col min="788" max="788" width="9.44140625" style="129" bestFit="1" customWidth="1"/>
    <col min="789" max="789" width="9.33203125" style="129" bestFit="1" customWidth="1"/>
    <col min="790" max="790" width="10.44140625" style="129" bestFit="1" customWidth="1"/>
    <col min="791" max="1020" width="9.109375" style="129"/>
    <col min="1021" max="1021" width="3.109375" style="129" customWidth="1"/>
    <col min="1022" max="1022" width="15.88671875" style="129" customWidth="1"/>
    <col min="1023" max="1023" width="11.44140625" style="129" customWidth="1"/>
    <col min="1024" max="1025" width="16.109375" style="129" customWidth="1"/>
    <col min="1026" max="1026" width="12.109375" style="129" customWidth="1"/>
    <col min="1027" max="1027" width="7.33203125" style="129" customWidth="1"/>
    <col min="1028" max="1028" width="12.33203125" style="129" bestFit="1" customWidth="1"/>
    <col min="1029" max="1030" width="10.109375" style="129" bestFit="1" customWidth="1"/>
    <col min="1031" max="1031" width="9" style="129" bestFit="1" customWidth="1"/>
    <col min="1032" max="1032" width="8.109375" style="129" bestFit="1" customWidth="1"/>
    <col min="1033" max="1033" width="7.44140625" style="129" customWidth="1"/>
    <col min="1034" max="1034" width="10.44140625" style="129" bestFit="1" customWidth="1"/>
    <col min="1035" max="1037" width="9.33203125" style="129" bestFit="1" customWidth="1"/>
    <col min="1038" max="1038" width="9.44140625" style="129" bestFit="1" customWidth="1"/>
    <col min="1039" max="1040" width="9.33203125" style="129" bestFit="1" customWidth="1"/>
    <col min="1041" max="1041" width="10.44140625" style="129" bestFit="1" customWidth="1"/>
    <col min="1042" max="1043" width="9.33203125" style="129" bestFit="1" customWidth="1"/>
    <col min="1044" max="1044" width="9.44140625" style="129" bestFit="1" customWidth="1"/>
    <col min="1045" max="1045" width="9.33203125" style="129" bestFit="1" customWidth="1"/>
    <col min="1046" max="1046" width="10.44140625" style="129" bestFit="1" customWidth="1"/>
    <col min="1047" max="1276" width="9.109375" style="129"/>
    <col min="1277" max="1277" width="3.109375" style="129" customWidth="1"/>
    <col min="1278" max="1278" width="15.88671875" style="129" customWidth="1"/>
    <col min="1279" max="1279" width="11.44140625" style="129" customWidth="1"/>
    <col min="1280" max="1281" width="16.109375" style="129" customWidth="1"/>
    <col min="1282" max="1282" width="12.109375" style="129" customWidth="1"/>
    <col min="1283" max="1283" width="7.33203125" style="129" customWidth="1"/>
    <col min="1284" max="1284" width="12.33203125" style="129" bestFit="1" customWidth="1"/>
    <col min="1285" max="1286" width="10.109375" style="129" bestFit="1" customWidth="1"/>
    <col min="1287" max="1287" width="9" style="129" bestFit="1" customWidth="1"/>
    <col min="1288" max="1288" width="8.109375" style="129" bestFit="1" customWidth="1"/>
    <col min="1289" max="1289" width="7.44140625" style="129" customWidth="1"/>
    <col min="1290" max="1290" width="10.44140625" style="129" bestFit="1" customWidth="1"/>
    <col min="1291" max="1293" width="9.33203125" style="129" bestFit="1" customWidth="1"/>
    <col min="1294" max="1294" width="9.44140625" style="129" bestFit="1" customWidth="1"/>
    <col min="1295" max="1296" width="9.33203125" style="129" bestFit="1" customWidth="1"/>
    <col min="1297" max="1297" width="10.44140625" style="129" bestFit="1" customWidth="1"/>
    <col min="1298" max="1299" width="9.33203125" style="129" bestFit="1" customWidth="1"/>
    <col min="1300" max="1300" width="9.44140625" style="129" bestFit="1" customWidth="1"/>
    <col min="1301" max="1301" width="9.33203125" style="129" bestFit="1" customWidth="1"/>
    <col min="1302" max="1302" width="10.44140625" style="129" bestFit="1" customWidth="1"/>
    <col min="1303" max="1532" width="9.109375" style="129"/>
    <col min="1533" max="1533" width="3.109375" style="129" customWidth="1"/>
    <col min="1534" max="1534" width="15.88671875" style="129" customWidth="1"/>
    <col min="1535" max="1535" width="11.44140625" style="129" customWidth="1"/>
    <col min="1536" max="1537" width="16.109375" style="129" customWidth="1"/>
    <col min="1538" max="1538" width="12.109375" style="129" customWidth="1"/>
    <col min="1539" max="1539" width="7.33203125" style="129" customWidth="1"/>
    <col min="1540" max="1540" width="12.33203125" style="129" bestFit="1" customWidth="1"/>
    <col min="1541" max="1542" width="10.109375" style="129" bestFit="1" customWidth="1"/>
    <col min="1543" max="1543" width="9" style="129" bestFit="1" customWidth="1"/>
    <col min="1544" max="1544" width="8.109375" style="129" bestFit="1" customWidth="1"/>
    <col min="1545" max="1545" width="7.44140625" style="129" customWidth="1"/>
    <col min="1546" max="1546" width="10.44140625" style="129" bestFit="1" customWidth="1"/>
    <col min="1547" max="1549" width="9.33203125" style="129" bestFit="1" customWidth="1"/>
    <col min="1550" max="1550" width="9.44140625" style="129" bestFit="1" customWidth="1"/>
    <col min="1551" max="1552" width="9.33203125" style="129" bestFit="1" customWidth="1"/>
    <col min="1553" max="1553" width="10.44140625" style="129" bestFit="1" customWidth="1"/>
    <col min="1554" max="1555" width="9.33203125" style="129" bestFit="1" customWidth="1"/>
    <col min="1556" max="1556" width="9.44140625" style="129" bestFit="1" customWidth="1"/>
    <col min="1557" max="1557" width="9.33203125" style="129" bestFit="1" customWidth="1"/>
    <col min="1558" max="1558" width="10.44140625" style="129" bestFit="1" customWidth="1"/>
    <col min="1559" max="1788" width="9.109375" style="129"/>
    <col min="1789" max="1789" width="3.109375" style="129" customWidth="1"/>
    <col min="1790" max="1790" width="15.88671875" style="129" customWidth="1"/>
    <col min="1791" max="1791" width="11.44140625" style="129" customWidth="1"/>
    <col min="1792" max="1793" width="16.109375" style="129" customWidth="1"/>
    <col min="1794" max="1794" width="12.109375" style="129" customWidth="1"/>
    <col min="1795" max="1795" width="7.33203125" style="129" customWidth="1"/>
    <col min="1796" max="1796" width="12.33203125" style="129" bestFit="1" customWidth="1"/>
    <col min="1797" max="1798" width="10.109375" style="129" bestFit="1" customWidth="1"/>
    <col min="1799" max="1799" width="9" style="129" bestFit="1" customWidth="1"/>
    <col min="1800" max="1800" width="8.109375" style="129" bestFit="1" customWidth="1"/>
    <col min="1801" max="1801" width="7.44140625" style="129" customWidth="1"/>
    <col min="1802" max="1802" width="10.44140625" style="129" bestFit="1" customWidth="1"/>
    <col min="1803" max="1805" width="9.33203125" style="129" bestFit="1" customWidth="1"/>
    <col min="1806" max="1806" width="9.44140625" style="129" bestFit="1" customWidth="1"/>
    <col min="1807" max="1808" width="9.33203125" style="129" bestFit="1" customWidth="1"/>
    <col min="1809" max="1809" width="10.44140625" style="129" bestFit="1" customWidth="1"/>
    <col min="1810" max="1811" width="9.33203125" style="129" bestFit="1" customWidth="1"/>
    <col min="1812" max="1812" width="9.44140625" style="129" bestFit="1" customWidth="1"/>
    <col min="1813" max="1813" width="9.33203125" style="129" bestFit="1" customWidth="1"/>
    <col min="1814" max="1814" width="10.44140625" style="129" bestFit="1" customWidth="1"/>
    <col min="1815" max="2044" width="9.109375" style="129"/>
    <col min="2045" max="2045" width="3.109375" style="129" customWidth="1"/>
    <col min="2046" max="2046" width="15.88671875" style="129" customWidth="1"/>
    <col min="2047" max="2047" width="11.44140625" style="129" customWidth="1"/>
    <col min="2048" max="2049" width="16.109375" style="129" customWidth="1"/>
    <col min="2050" max="2050" width="12.109375" style="129" customWidth="1"/>
    <col min="2051" max="2051" width="7.33203125" style="129" customWidth="1"/>
    <col min="2052" max="2052" width="12.33203125" style="129" bestFit="1" customWidth="1"/>
    <col min="2053" max="2054" width="10.109375" style="129" bestFit="1" customWidth="1"/>
    <col min="2055" max="2055" width="9" style="129" bestFit="1" customWidth="1"/>
    <col min="2056" max="2056" width="8.109375" style="129" bestFit="1" customWidth="1"/>
    <col min="2057" max="2057" width="7.44140625" style="129" customWidth="1"/>
    <col min="2058" max="2058" width="10.44140625" style="129" bestFit="1" customWidth="1"/>
    <col min="2059" max="2061" width="9.33203125" style="129" bestFit="1" customWidth="1"/>
    <col min="2062" max="2062" width="9.44140625" style="129" bestFit="1" customWidth="1"/>
    <col min="2063" max="2064" width="9.33203125" style="129" bestFit="1" customWidth="1"/>
    <col min="2065" max="2065" width="10.44140625" style="129" bestFit="1" customWidth="1"/>
    <col min="2066" max="2067" width="9.33203125" style="129" bestFit="1" customWidth="1"/>
    <col min="2068" max="2068" width="9.44140625" style="129" bestFit="1" customWidth="1"/>
    <col min="2069" max="2069" width="9.33203125" style="129" bestFit="1" customWidth="1"/>
    <col min="2070" max="2070" width="10.44140625" style="129" bestFit="1" customWidth="1"/>
    <col min="2071" max="2300" width="9.109375" style="129"/>
    <col min="2301" max="2301" width="3.109375" style="129" customWidth="1"/>
    <col min="2302" max="2302" width="15.88671875" style="129" customWidth="1"/>
    <col min="2303" max="2303" width="11.44140625" style="129" customWidth="1"/>
    <col min="2304" max="2305" width="16.109375" style="129" customWidth="1"/>
    <col min="2306" max="2306" width="12.109375" style="129" customWidth="1"/>
    <col min="2307" max="2307" width="7.33203125" style="129" customWidth="1"/>
    <col min="2308" max="2308" width="12.33203125" style="129" bestFit="1" customWidth="1"/>
    <col min="2309" max="2310" width="10.109375" style="129" bestFit="1" customWidth="1"/>
    <col min="2311" max="2311" width="9" style="129" bestFit="1" customWidth="1"/>
    <col min="2312" max="2312" width="8.109375" style="129" bestFit="1" customWidth="1"/>
    <col min="2313" max="2313" width="7.44140625" style="129" customWidth="1"/>
    <col min="2314" max="2314" width="10.44140625" style="129" bestFit="1" customWidth="1"/>
    <col min="2315" max="2317" width="9.33203125" style="129" bestFit="1" customWidth="1"/>
    <col min="2318" max="2318" width="9.44140625" style="129" bestFit="1" customWidth="1"/>
    <col min="2319" max="2320" width="9.33203125" style="129" bestFit="1" customWidth="1"/>
    <col min="2321" max="2321" width="10.44140625" style="129" bestFit="1" customWidth="1"/>
    <col min="2322" max="2323" width="9.33203125" style="129" bestFit="1" customWidth="1"/>
    <col min="2324" max="2324" width="9.44140625" style="129" bestFit="1" customWidth="1"/>
    <col min="2325" max="2325" width="9.33203125" style="129" bestFit="1" customWidth="1"/>
    <col min="2326" max="2326" width="10.44140625" style="129" bestFit="1" customWidth="1"/>
    <col min="2327" max="2556" width="9.109375" style="129"/>
    <col min="2557" max="2557" width="3.109375" style="129" customWidth="1"/>
    <col min="2558" max="2558" width="15.88671875" style="129" customWidth="1"/>
    <col min="2559" max="2559" width="11.44140625" style="129" customWidth="1"/>
    <col min="2560" max="2561" width="16.109375" style="129" customWidth="1"/>
    <col min="2562" max="2562" width="12.109375" style="129" customWidth="1"/>
    <col min="2563" max="2563" width="7.33203125" style="129" customWidth="1"/>
    <col min="2564" max="2564" width="12.33203125" style="129" bestFit="1" customWidth="1"/>
    <col min="2565" max="2566" width="10.109375" style="129" bestFit="1" customWidth="1"/>
    <col min="2567" max="2567" width="9" style="129" bestFit="1" customWidth="1"/>
    <col min="2568" max="2568" width="8.109375" style="129" bestFit="1" customWidth="1"/>
    <col min="2569" max="2569" width="7.44140625" style="129" customWidth="1"/>
    <col min="2570" max="2570" width="10.44140625" style="129" bestFit="1" customWidth="1"/>
    <col min="2571" max="2573" width="9.33203125" style="129" bestFit="1" customWidth="1"/>
    <col min="2574" max="2574" width="9.44140625" style="129" bestFit="1" customWidth="1"/>
    <col min="2575" max="2576" width="9.33203125" style="129" bestFit="1" customWidth="1"/>
    <col min="2577" max="2577" width="10.44140625" style="129" bestFit="1" customWidth="1"/>
    <col min="2578" max="2579" width="9.33203125" style="129" bestFit="1" customWidth="1"/>
    <col min="2580" max="2580" width="9.44140625" style="129" bestFit="1" customWidth="1"/>
    <col min="2581" max="2581" width="9.33203125" style="129" bestFit="1" customWidth="1"/>
    <col min="2582" max="2582" width="10.44140625" style="129" bestFit="1" customWidth="1"/>
    <col min="2583" max="2812" width="9.109375" style="129"/>
    <col min="2813" max="2813" width="3.109375" style="129" customWidth="1"/>
    <col min="2814" max="2814" width="15.88671875" style="129" customWidth="1"/>
    <col min="2815" max="2815" width="11.44140625" style="129" customWidth="1"/>
    <col min="2816" max="2817" width="16.109375" style="129" customWidth="1"/>
    <col min="2818" max="2818" width="12.109375" style="129" customWidth="1"/>
    <col min="2819" max="2819" width="7.33203125" style="129" customWidth="1"/>
    <col min="2820" max="2820" width="12.33203125" style="129" bestFit="1" customWidth="1"/>
    <col min="2821" max="2822" width="10.109375" style="129" bestFit="1" customWidth="1"/>
    <col min="2823" max="2823" width="9" style="129" bestFit="1" customWidth="1"/>
    <col min="2824" max="2824" width="8.109375" style="129" bestFit="1" customWidth="1"/>
    <col min="2825" max="2825" width="7.44140625" style="129" customWidth="1"/>
    <col min="2826" max="2826" width="10.44140625" style="129" bestFit="1" customWidth="1"/>
    <col min="2827" max="2829" width="9.33203125" style="129" bestFit="1" customWidth="1"/>
    <col min="2830" max="2830" width="9.44140625" style="129" bestFit="1" customWidth="1"/>
    <col min="2831" max="2832" width="9.33203125" style="129" bestFit="1" customWidth="1"/>
    <col min="2833" max="2833" width="10.44140625" style="129" bestFit="1" customWidth="1"/>
    <col min="2834" max="2835" width="9.33203125" style="129" bestFit="1" customWidth="1"/>
    <col min="2836" max="2836" width="9.44140625" style="129" bestFit="1" customWidth="1"/>
    <col min="2837" max="2837" width="9.33203125" style="129" bestFit="1" customWidth="1"/>
    <col min="2838" max="2838" width="10.44140625" style="129" bestFit="1" customWidth="1"/>
    <col min="2839" max="3068" width="9.109375" style="129"/>
    <col min="3069" max="3069" width="3.109375" style="129" customWidth="1"/>
    <col min="3070" max="3070" width="15.88671875" style="129" customWidth="1"/>
    <col min="3071" max="3071" width="11.44140625" style="129" customWidth="1"/>
    <col min="3072" max="3073" width="16.109375" style="129" customWidth="1"/>
    <col min="3074" max="3074" width="12.109375" style="129" customWidth="1"/>
    <col min="3075" max="3075" width="7.33203125" style="129" customWidth="1"/>
    <col min="3076" max="3076" width="12.33203125" style="129" bestFit="1" customWidth="1"/>
    <col min="3077" max="3078" width="10.109375" style="129" bestFit="1" customWidth="1"/>
    <col min="3079" max="3079" width="9" style="129" bestFit="1" customWidth="1"/>
    <col min="3080" max="3080" width="8.109375" style="129" bestFit="1" customWidth="1"/>
    <col min="3081" max="3081" width="7.44140625" style="129" customWidth="1"/>
    <col min="3082" max="3082" width="10.44140625" style="129" bestFit="1" customWidth="1"/>
    <col min="3083" max="3085" width="9.33203125" style="129" bestFit="1" customWidth="1"/>
    <col min="3086" max="3086" width="9.44140625" style="129" bestFit="1" customWidth="1"/>
    <col min="3087" max="3088" width="9.33203125" style="129" bestFit="1" customWidth="1"/>
    <col min="3089" max="3089" width="10.44140625" style="129" bestFit="1" customWidth="1"/>
    <col min="3090" max="3091" width="9.33203125" style="129" bestFit="1" customWidth="1"/>
    <col min="3092" max="3092" width="9.44140625" style="129" bestFit="1" customWidth="1"/>
    <col min="3093" max="3093" width="9.33203125" style="129" bestFit="1" customWidth="1"/>
    <col min="3094" max="3094" width="10.44140625" style="129" bestFit="1" customWidth="1"/>
    <col min="3095" max="3324" width="9.109375" style="129"/>
    <col min="3325" max="3325" width="3.109375" style="129" customWidth="1"/>
    <col min="3326" max="3326" width="15.88671875" style="129" customWidth="1"/>
    <col min="3327" max="3327" width="11.44140625" style="129" customWidth="1"/>
    <col min="3328" max="3329" width="16.109375" style="129" customWidth="1"/>
    <col min="3330" max="3330" width="12.109375" style="129" customWidth="1"/>
    <col min="3331" max="3331" width="7.33203125" style="129" customWidth="1"/>
    <col min="3332" max="3332" width="12.33203125" style="129" bestFit="1" customWidth="1"/>
    <col min="3333" max="3334" width="10.109375" style="129" bestFit="1" customWidth="1"/>
    <col min="3335" max="3335" width="9" style="129" bestFit="1" customWidth="1"/>
    <col min="3336" max="3336" width="8.109375" style="129" bestFit="1" customWidth="1"/>
    <col min="3337" max="3337" width="7.44140625" style="129" customWidth="1"/>
    <col min="3338" max="3338" width="10.44140625" style="129" bestFit="1" customWidth="1"/>
    <col min="3339" max="3341" width="9.33203125" style="129" bestFit="1" customWidth="1"/>
    <col min="3342" max="3342" width="9.44140625" style="129" bestFit="1" customWidth="1"/>
    <col min="3343" max="3344" width="9.33203125" style="129" bestFit="1" customWidth="1"/>
    <col min="3345" max="3345" width="10.44140625" style="129" bestFit="1" customWidth="1"/>
    <col min="3346" max="3347" width="9.33203125" style="129" bestFit="1" customWidth="1"/>
    <col min="3348" max="3348" width="9.44140625" style="129" bestFit="1" customWidth="1"/>
    <col min="3349" max="3349" width="9.33203125" style="129" bestFit="1" customWidth="1"/>
    <col min="3350" max="3350" width="10.44140625" style="129" bestFit="1" customWidth="1"/>
    <col min="3351" max="3580" width="9.109375" style="129"/>
    <col min="3581" max="3581" width="3.109375" style="129" customWidth="1"/>
    <col min="3582" max="3582" width="15.88671875" style="129" customWidth="1"/>
    <col min="3583" max="3583" width="11.44140625" style="129" customWidth="1"/>
    <col min="3584" max="3585" width="16.109375" style="129" customWidth="1"/>
    <col min="3586" max="3586" width="12.109375" style="129" customWidth="1"/>
    <col min="3587" max="3587" width="7.33203125" style="129" customWidth="1"/>
    <col min="3588" max="3588" width="12.33203125" style="129" bestFit="1" customWidth="1"/>
    <col min="3589" max="3590" width="10.109375" style="129" bestFit="1" customWidth="1"/>
    <col min="3591" max="3591" width="9" style="129" bestFit="1" customWidth="1"/>
    <col min="3592" max="3592" width="8.109375" style="129" bestFit="1" customWidth="1"/>
    <col min="3593" max="3593" width="7.44140625" style="129" customWidth="1"/>
    <col min="3594" max="3594" width="10.44140625" style="129" bestFit="1" customWidth="1"/>
    <col min="3595" max="3597" width="9.33203125" style="129" bestFit="1" customWidth="1"/>
    <col min="3598" max="3598" width="9.44140625" style="129" bestFit="1" customWidth="1"/>
    <col min="3599" max="3600" width="9.33203125" style="129" bestFit="1" customWidth="1"/>
    <col min="3601" max="3601" width="10.44140625" style="129" bestFit="1" customWidth="1"/>
    <col min="3602" max="3603" width="9.33203125" style="129" bestFit="1" customWidth="1"/>
    <col min="3604" max="3604" width="9.44140625" style="129" bestFit="1" customWidth="1"/>
    <col min="3605" max="3605" width="9.33203125" style="129" bestFit="1" customWidth="1"/>
    <col min="3606" max="3606" width="10.44140625" style="129" bestFit="1" customWidth="1"/>
    <col min="3607" max="3836" width="9.109375" style="129"/>
    <col min="3837" max="3837" width="3.109375" style="129" customWidth="1"/>
    <col min="3838" max="3838" width="15.88671875" style="129" customWidth="1"/>
    <col min="3839" max="3839" width="11.44140625" style="129" customWidth="1"/>
    <col min="3840" max="3841" width="16.109375" style="129" customWidth="1"/>
    <col min="3842" max="3842" width="12.109375" style="129" customWidth="1"/>
    <col min="3843" max="3843" width="7.33203125" style="129" customWidth="1"/>
    <col min="3844" max="3844" width="12.33203125" style="129" bestFit="1" customWidth="1"/>
    <col min="3845" max="3846" width="10.109375" style="129" bestFit="1" customWidth="1"/>
    <col min="3847" max="3847" width="9" style="129" bestFit="1" customWidth="1"/>
    <col min="3848" max="3848" width="8.109375" style="129" bestFit="1" customWidth="1"/>
    <col min="3849" max="3849" width="7.44140625" style="129" customWidth="1"/>
    <col min="3850" max="3850" width="10.44140625" style="129" bestFit="1" customWidth="1"/>
    <col min="3851" max="3853" width="9.33203125" style="129" bestFit="1" customWidth="1"/>
    <col min="3854" max="3854" width="9.44140625" style="129" bestFit="1" customWidth="1"/>
    <col min="3855" max="3856" width="9.33203125" style="129" bestFit="1" customWidth="1"/>
    <col min="3857" max="3857" width="10.44140625" style="129" bestFit="1" customWidth="1"/>
    <col min="3858" max="3859" width="9.33203125" style="129" bestFit="1" customWidth="1"/>
    <col min="3860" max="3860" width="9.44140625" style="129" bestFit="1" customWidth="1"/>
    <col min="3861" max="3861" width="9.33203125" style="129" bestFit="1" customWidth="1"/>
    <col min="3862" max="3862" width="10.44140625" style="129" bestFit="1" customWidth="1"/>
    <col min="3863" max="4092" width="9.109375" style="129"/>
    <col min="4093" max="4093" width="3.109375" style="129" customWidth="1"/>
    <col min="4094" max="4094" width="15.88671875" style="129" customWidth="1"/>
    <col min="4095" max="4095" width="11.44140625" style="129" customWidth="1"/>
    <col min="4096" max="4097" width="16.109375" style="129" customWidth="1"/>
    <col min="4098" max="4098" width="12.109375" style="129" customWidth="1"/>
    <col min="4099" max="4099" width="7.33203125" style="129" customWidth="1"/>
    <col min="4100" max="4100" width="12.33203125" style="129" bestFit="1" customWidth="1"/>
    <col min="4101" max="4102" width="10.109375" style="129" bestFit="1" customWidth="1"/>
    <col min="4103" max="4103" width="9" style="129" bestFit="1" customWidth="1"/>
    <col min="4104" max="4104" width="8.109375" style="129" bestFit="1" customWidth="1"/>
    <col min="4105" max="4105" width="7.44140625" style="129" customWidth="1"/>
    <col min="4106" max="4106" width="10.44140625" style="129" bestFit="1" customWidth="1"/>
    <col min="4107" max="4109" width="9.33203125" style="129" bestFit="1" customWidth="1"/>
    <col min="4110" max="4110" width="9.44140625" style="129" bestFit="1" customWidth="1"/>
    <col min="4111" max="4112" width="9.33203125" style="129" bestFit="1" customWidth="1"/>
    <col min="4113" max="4113" width="10.44140625" style="129" bestFit="1" customWidth="1"/>
    <col min="4114" max="4115" width="9.33203125" style="129" bestFit="1" customWidth="1"/>
    <col min="4116" max="4116" width="9.44140625" style="129" bestFit="1" customWidth="1"/>
    <col min="4117" max="4117" width="9.33203125" style="129" bestFit="1" customWidth="1"/>
    <col min="4118" max="4118" width="10.44140625" style="129" bestFit="1" customWidth="1"/>
    <col min="4119" max="4348" width="9.109375" style="129"/>
    <col min="4349" max="4349" width="3.109375" style="129" customWidth="1"/>
    <col min="4350" max="4350" width="15.88671875" style="129" customWidth="1"/>
    <col min="4351" max="4351" width="11.44140625" style="129" customWidth="1"/>
    <col min="4352" max="4353" width="16.109375" style="129" customWidth="1"/>
    <col min="4354" max="4354" width="12.109375" style="129" customWidth="1"/>
    <col min="4355" max="4355" width="7.33203125" style="129" customWidth="1"/>
    <col min="4356" max="4356" width="12.33203125" style="129" bestFit="1" customWidth="1"/>
    <col min="4357" max="4358" width="10.109375" style="129" bestFit="1" customWidth="1"/>
    <col min="4359" max="4359" width="9" style="129" bestFit="1" customWidth="1"/>
    <col min="4360" max="4360" width="8.109375" style="129" bestFit="1" customWidth="1"/>
    <col min="4361" max="4361" width="7.44140625" style="129" customWidth="1"/>
    <col min="4362" max="4362" width="10.44140625" style="129" bestFit="1" customWidth="1"/>
    <col min="4363" max="4365" width="9.33203125" style="129" bestFit="1" customWidth="1"/>
    <col min="4366" max="4366" width="9.44140625" style="129" bestFit="1" customWidth="1"/>
    <col min="4367" max="4368" width="9.33203125" style="129" bestFit="1" customWidth="1"/>
    <col min="4369" max="4369" width="10.44140625" style="129" bestFit="1" customWidth="1"/>
    <col min="4370" max="4371" width="9.33203125" style="129" bestFit="1" customWidth="1"/>
    <col min="4372" max="4372" width="9.44140625" style="129" bestFit="1" customWidth="1"/>
    <col min="4373" max="4373" width="9.33203125" style="129" bestFit="1" customWidth="1"/>
    <col min="4374" max="4374" width="10.44140625" style="129" bestFit="1" customWidth="1"/>
    <col min="4375" max="4604" width="9.109375" style="129"/>
    <col min="4605" max="4605" width="3.109375" style="129" customWidth="1"/>
    <col min="4606" max="4606" width="15.88671875" style="129" customWidth="1"/>
    <col min="4607" max="4607" width="11.44140625" style="129" customWidth="1"/>
    <col min="4608" max="4609" width="16.109375" style="129" customWidth="1"/>
    <col min="4610" max="4610" width="12.109375" style="129" customWidth="1"/>
    <col min="4611" max="4611" width="7.33203125" style="129" customWidth="1"/>
    <col min="4612" max="4612" width="12.33203125" style="129" bestFit="1" customWidth="1"/>
    <col min="4613" max="4614" width="10.109375" style="129" bestFit="1" customWidth="1"/>
    <col min="4615" max="4615" width="9" style="129" bestFit="1" customWidth="1"/>
    <col min="4616" max="4616" width="8.109375" style="129" bestFit="1" customWidth="1"/>
    <col min="4617" max="4617" width="7.44140625" style="129" customWidth="1"/>
    <col min="4618" max="4618" width="10.44140625" style="129" bestFit="1" customWidth="1"/>
    <col min="4619" max="4621" width="9.33203125" style="129" bestFit="1" customWidth="1"/>
    <col min="4622" max="4622" width="9.44140625" style="129" bestFit="1" customWidth="1"/>
    <col min="4623" max="4624" width="9.33203125" style="129" bestFit="1" customWidth="1"/>
    <col min="4625" max="4625" width="10.44140625" style="129" bestFit="1" customWidth="1"/>
    <col min="4626" max="4627" width="9.33203125" style="129" bestFit="1" customWidth="1"/>
    <col min="4628" max="4628" width="9.44140625" style="129" bestFit="1" customWidth="1"/>
    <col min="4629" max="4629" width="9.33203125" style="129" bestFit="1" customWidth="1"/>
    <col min="4630" max="4630" width="10.44140625" style="129" bestFit="1" customWidth="1"/>
    <col min="4631" max="4860" width="9.109375" style="129"/>
    <col min="4861" max="4861" width="3.109375" style="129" customWidth="1"/>
    <col min="4862" max="4862" width="15.88671875" style="129" customWidth="1"/>
    <col min="4863" max="4863" width="11.44140625" style="129" customWidth="1"/>
    <col min="4864" max="4865" width="16.109375" style="129" customWidth="1"/>
    <col min="4866" max="4866" width="12.109375" style="129" customWidth="1"/>
    <col min="4867" max="4867" width="7.33203125" style="129" customWidth="1"/>
    <col min="4868" max="4868" width="12.33203125" style="129" bestFit="1" customWidth="1"/>
    <col min="4869" max="4870" width="10.109375" style="129" bestFit="1" customWidth="1"/>
    <col min="4871" max="4871" width="9" style="129" bestFit="1" customWidth="1"/>
    <col min="4872" max="4872" width="8.109375" style="129" bestFit="1" customWidth="1"/>
    <col min="4873" max="4873" width="7.44140625" style="129" customWidth="1"/>
    <col min="4874" max="4874" width="10.44140625" style="129" bestFit="1" customWidth="1"/>
    <col min="4875" max="4877" width="9.33203125" style="129" bestFit="1" customWidth="1"/>
    <col min="4878" max="4878" width="9.44140625" style="129" bestFit="1" customWidth="1"/>
    <col min="4879" max="4880" width="9.33203125" style="129" bestFit="1" customWidth="1"/>
    <col min="4881" max="4881" width="10.44140625" style="129" bestFit="1" customWidth="1"/>
    <col min="4882" max="4883" width="9.33203125" style="129" bestFit="1" customWidth="1"/>
    <col min="4884" max="4884" width="9.44140625" style="129" bestFit="1" customWidth="1"/>
    <col min="4885" max="4885" width="9.33203125" style="129" bestFit="1" customWidth="1"/>
    <col min="4886" max="4886" width="10.44140625" style="129" bestFit="1" customWidth="1"/>
    <col min="4887" max="5116" width="9.109375" style="129"/>
    <col min="5117" max="5117" width="3.109375" style="129" customWidth="1"/>
    <col min="5118" max="5118" width="15.88671875" style="129" customWidth="1"/>
    <col min="5119" max="5119" width="11.44140625" style="129" customWidth="1"/>
    <col min="5120" max="5121" width="16.109375" style="129" customWidth="1"/>
    <col min="5122" max="5122" width="12.109375" style="129" customWidth="1"/>
    <col min="5123" max="5123" width="7.33203125" style="129" customWidth="1"/>
    <col min="5124" max="5124" width="12.33203125" style="129" bestFit="1" customWidth="1"/>
    <col min="5125" max="5126" width="10.109375" style="129" bestFit="1" customWidth="1"/>
    <col min="5127" max="5127" width="9" style="129" bestFit="1" customWidth="1"/>
    <col min="5128" max="5128" width="8.109375" style="129" bestFit="1" customWidth="1"/>
    <col min="5129" max="5129" width="7.44140625" style="129" customWidth="1"/>
    <col min="5130" max="5130" width="10.44140625" style="129" bestFit="1" customWidth="1"/>
    <col min="5131" max="5133" width="9.33203125" style="129" bestFit="1" customWidth="1"/>
    <col min="5134" max="5134" width="9.44140625" style="129" bestFit="1" customWidth="1"/>
    <col min="5135" max="5136" width="9.33203125" style="129" bestFit="1" customWidth="1"/>
    <col min="5137" max="5137" width="10.44140625" style="129" bestFit="1" customWidth="1"/>
    <col min="5138" max="5139" width="9.33203125" style="129" bestFit="1" customWidth="1"/>
    <col min="5140" max="5140" width="9.44140625" style="129" bestFit="1" customWidth="1"/>
    <col min="5141" max="5141" width="9.33203125" style="129" bestFit="1" customWidth="1"/>
    <col min="5142" max="5142" width="10.44140625" style="129" bestFit="1" customWidth="1"/>
    <col min="5143" max="5372" width="9.109375" style="129"/>
    <col min="5373" max="5373" width="3.109375" style="129" customWidth="1"/>
    <col min="5374" max="5374" width="15.88671875" style="129" customWidth="1"/>
    <col min="5375" max="5375" width="11.44140625" style="129" customWidth="1"/>
    <col min="5376" max="5377" width="16.109375" style="129" customWidth="1"/>
    <col min="5378" max="5378" width="12.109375" style="129" customWidth="1"/>
    <col min="5379" max="5379" width="7.33203125" style="129" customWidth="1"/>
    <col min="5380" max="5380" width="12.33203125" style="129" bestFit="1" customWidth="1"/>
    <col min="5381" max="5382" width="10.109375" style="129" bestFit="1" customWidth="1"/>
    <col min="5383" max="5383" width="9" style="129" bestFit="1" customWidth="1"/>
    <col min="5384" max="5384" width="8.109375" style="129" bestFit="1" customWidth="1"/>
    <col min="5385" max="5385" width="7.44140625" style="129" customWidth="1"/>
    <col min="5386" max="5386" width="10.44140625" style="129" bestFit="1" customWidth="1"/>
    <col min="5387" max="5389" width="9.33203125" style="129" bestFit="1" customWidth="1"/>
    <col min="5390" max="5390" width="9.44140625" style="129" bestFit="1" customWidth="1"/>
    <col min="5391" max="5392" width="9.33203125" style="129" bestFit="1" customWidth="1"/>
    <col min="5393" max="5393" width="10.44140625" style="129" bestFit="1" customWidth="1"/>
    <col min="5394" max="5395" width="9.33203125" style="129" bestFit="1" customWidth="1"/>
    <col min="5396" max="5396" width="9.44140625" style="129" bestFit="1" customWidth="1"/>
    <col min="5397" max="5397" width="9.33203125" style="129" bestFit="1" customWidth="1"/>
    <col min="5398" max="5398" width="10.44140625" style="129" bestFit="1" customWidth="1"/>
    <col min="5399" max="5628" width="9.109375" style="129"/>
    <col min="5629" max="5629" width="3.109375" style="129" customWidth="1"/>
    <col min="5630" max="5630" width="15.88671875" style="129" customWidth="1"/>
    <col min="5631" max="5631" width="11.44140625" style="129" customWidth="1"/>
    <col min="5632" max="5633" width="16.109375" style="129" customWidth="1"/>
    <col min="5634" max="5634" width="12.109375" style="129" customWidth="1"/>
    <col min="5635" max="5635" width="7.33203125" style="129" customWidth="1"/>
    <col min="5636" max="5636" width="12.33203125" style="129" bestFit="1" customWidth="1"/>
    <col min="5637" max="5638" width="10.109375" style="129" bestFit="1" customWidth="1"/>
    <col min="5639" max="5639" width="9" style="129" bestFit="1" customWidth="1"/>
    <col min="5640" max="5640" width="8.109375" style="129" bestFit="1" customWidth="1"/>
    <col min="5641" max="5641" width="7.44140625" style="129" customWidth="1"/>
    <col min="5642" max="5642" width="10.44140625" style="129" bestFit="1" customWidth="1"/>
    <col min="5643" max="5645" width="9.33203125" style="129" bestFit="1" customWidth="1"/>
    <col min="5646" max="5646" width="9.44140625" style="129" bestFit="1" customWidth="1"/>
    <col min="5647" max="5648" width="9.33203125" style="129" bestFit="1" customWidth="1"/>
    <col min="5649" max="5649" width="10.44140625" style="129" bestFit="1" customWidth="1"/>
    <col min="5650" max="5651" width="9.33203125" style="129" bestFit="1" customWidth="1"/>
    <col min="5652" max="5652" width="9.44140625" style="129" bestFit="1" customWidth="1"/>
    <col min="5653" max="5653" width="9.33203125" style="129" bestFit="1" customWidth="1"/>
    <col min="5654" max="5654" width="10.44140625" style="129" bestFit="1" customWidth="1"/>
    <col min="5655" max="5884" width="9.109375" style="129"/>
    <col min="5885" max="5885" width="3.109375" style="129" customWidth="1"/>
    <col min="5886" max="5886" width="15.88671875" style="129" customWidth="1"/>
    <col min="5887" max="5887" width="11.44140625" style="129" customWidth="1"/>
    <col min="5888" max="5889" width="16.109375" style="129" customWidth="1"/>
    <col min="5890" max="5890" width="12.109375" style="129" customWidth="1"/>
    <col min="5891" max="5891" width="7.33203125" style="129" customWidth="1"/>
    <col min="5892" max="5892" width="12.33203125" style="129" bestFit="1" customWidth="1"/>
    <col min="5893" max="5894" width="10.109375" style="129" bestFit="1" customWidth="1"/>
    <col min="5895" max="5895" width="9" style="129" bestFit="1" customWidth="1"/>
    <col min="5896" max="5896" width="8.109375" style="129" bestFit="1" customWidth="1"/>
    <col min="5897" max="5897" width="7.44140625" style="129" customWidth="1"/>
    <col min="5898" max="5898" width="10.44140625" style="129" bestFit="1" customWidth="1"/>
    <col min="5899" max="5901" width="9.33203125" style="129" bestFit="1" customWidth="1"/>
    <col min="5902" max="5902" width="9.44140625" style="129" bestFit="1" customWidth="1"/>
    <col min="5903" max="5904" width="9.33203125" style="129" bestFit="1" customWidth="1"/>
    <col min="5905" max="5905" width="10.44140625" style="129" bestFit="1" customWidth="1"/>
    <col min="5906" max="5907" width="9.33203125" style="129" bestFit="1" customWidth="1"/>
    <col min="5908" max="5908" width="9.44140625" style="129" bestFit="1" customWidth="1"/>
    <col min="5909" max="5909" width="9.33203125" style="129" bestFit="1" customWidth="1"/>
    <col min="5910" max="5910" width="10.44140625" style="129" bestFit="1" customWidth="1"/>
    <col min="5911" max="6140" width="9.109375" style="129"/>
    <col min="6141" max="6141" width="3.109375" style="129" customWidth="1"/>
    <col min="6142" max="6142" width="15.88671875" style="129" customWidth="1"/>
    <col min="6143" max="6143" width="11.44140625" style="129" customWidth="1"/>
    <col min="6144" max="6145" width="16.109375" style="129" customWidth="1"/>
    <col min="6146" max="6146" width="12.109375" style="129" customWidth="1"/>
    <col min="6147" max="6147" width="7.33203125" style="129" customWidth="1"/>
    <col min="6148" max="6148" width="12.33203125" style="129" bestFit="1" customWidth="1"/>
    <col min="6149" max="6150" width="10.109375" style="129" bestFit="1" customWidth="1"/>
    <col min="6151" max="6151" width="9" style="129" bestFit="1" customWidth="1"/>
    <col min="6152" max="6152" width="8.109375" style="129" bestFit="1" customWidth="1"/>
    <col min="6153" max="6153" width="7.44140625" style="129" customWidth="1"/>
    <col min="6154" max="6154" width="10.44140625" style="129" bestFit="1" customWidth="1"/>
    <col min="6155" max="6157" width="9.33203125" style="129" bestFit="1" customWidth="1"/>
    <col min="6158" max="6158" width="9.44140625" style="129" bestFit="1" customWidth="1"/>
    <col min="6159" max="6160" width="9.33203125" style="129" bestFit="1" customWidth="1"/>
    <col min="6161" max="6161" width="10.44140625" style="129" bestFit="1" customWidth="1"/>
    <col min="6162" max="6163" width="9.33203125" style="129" bestFit="1" customWidth="1"/>
    <col min="6164" max="6164" width="9.44140625" style="129" bestFit="1" customWidth="1"/>
    <col min="6165" max="6165" width="9.33203125" style="129" bestFit="1" customWidth="1"/>
    <col min="6166" max="6166" width="10.44140625" style="129" bestFit="1" customWidth="1"/>
    <col min="6167" max="6396" width="9.109375" style="129"/>
    <col min="6397" max="6397" width="3.109375" style="129" customWidth="1"/>
    <col min="6398" max="6398" width="15.88671875" style="129" customWidth="1"/>
    <col min="6399" max="6399" width="11.44140625" style="129" customWidth="1"/>
    <col min="6400" max="6401" width="16.109375" style="129" customWidth="1"/>
    <col min="6402" max="6402" width="12.109375" style="129" customWidth="1"/>
    <col min="6403" max="6403" width="7.33203125" style="129" customWidth="1"/>
    <col min="6404" max="6404" width="12.33203125" style="129" bestFit="1" customWidth="1"/>
    <col min="6405" max="6406" width="10.109375" style="129" bestFit="1" customWidth="1"/>
    <col min="6407" max="6407" width="9" style="129" bestFit="1" customWidth="1"/>
    <col min="6408" max="6408" width="8.109375" style="129" bestFit="1" customWidth="1"/>
    <col min="6409" max="6409" width="7.44140625" style="129" customWidth="1"/>
    <col min="6410" max="6410" width="10.44140625" style="129" bestFit="1" customWidth="1"/>
    <col min="6411" max="6413" width="9.33203125" style="129" bestFit="1" customWidth="1"/>
    <col min="6414" max="6414" width="9.44140625" style="129" bestFit="1" customWidth="1"/>
    <col min="6415" max="6416" width="9.33203125" style="129" bestFit="1" customWidth="1"/>
    <col min="6417" max="6417" width="10.44140625" style="129" bestFit="1" customWidth="1"/>
    <col min="6418" max="6419" width="9.33203125" style="129" bestFit="1" customWidth="1"/>
    <col min="6420" max="6420" width="9.44140625" style="129" bestFit="1" customWidth="1"/>
    <col min="6421" max="6421" width="9.33203125" style="129" bestFit="1" customWidth="1"/>
    <col min="6422" max="6422" width="10.44140625" style="129" bestFit="1" customWidth="1"/>
    <col min="6423" max="6652" width="9.109375" style="129"/>
    <col min="6653" max="6653" width="3.109375" style="129" customWidth="1"/>
    <col min="6654" max="6654" width="15.88671875" style="129" customWidth="1"/>
    <col min="6655" max="6655" width="11.44140625" style="129" customWidth="1"/>
    <col min="6656" max="6657" width="16.109375" style="129" customWidth="1"/>
    <col min="6658" max="6658" width="12.109375" style="129" customWidth="1"/>
    <col min="6659" max="6659" width="7.33203125" style="129" customWidth="1"/>
    <col min="6660" max="6660" width="12.33203125" style="129" bestFit="1" customWidth="1"/>
    <col min="6661" max="6662" width="10.109375" style="129" bestFit="1" customWidth="1"/>
    <col min="6663" max="6663" width="9" style="129" bestFit="1" customWidth="1"/>
    <col min="6664" max="6664" width="8.109375" style="129" bestFit="1" customWidth="1"/>
    <col min="6665" max="6665" width="7.44140625" style="129" customWidth="1"/>
    <col min="6666" max="6666" width="10.44140625" style="129" bestFit="1" customWidth="1"/>
    <col min="6667" max="6669" width="9.33203125" style="129" bestFit="1" customWidth="1"/>
    <col min="6670" max="6670" width="9.44140625" style="129" bestFit="1" customWidth="1"/>
    <col min="6671" max="6672" width="9.33203125" style="129" bestFit="1" customWidth="1"/>
    <col min="6673" max="6673" width="10.44140625" style="129" bestFit="1" customWidth="1"/>
    <col min="6674" max="6675" width="9.33203125" style="129" bestFit="1" customWidth="1"/>
    <col min="6676" max="6676" width="9.44140625" style="129" bestFit="1" customWidth="1"/>
    <col min="6677" max="6677" width="9.33203125" style="129" bestFit="1" customWidth="1"/>
    <col min="6678" max="6678" width="10.44140625" style="129" bestFit="1" customWidth="1"/>
    <col min="6679" max="6908" width="9.109375" style="129"/>
    <col min="6909" max="6909" width="3.109375" style="129" customWidth="1"/>
    <col min="6910" max="6910" width="15.88671875" style="129" customWidth="1"/>
    <col min="6911" max="6911" width="11.44140625" style="129" customWidth="1"/>
    <col min="6912" max="6913" width="16.109375" style="129" customWidth="1"/>
    <col min="6914" max="6914" width="12.109375" style="129" customWidth="1"/>
    <col min="6915" max="6915" width="7.33203125" style="129" customWidth="1"/>
    <col min="6916" max="6916" width="12.33203125" style="129" bestFit="1" customWidth="1"/>
    <col min="6917" max="6918" width="10.109375" style="129" bestFit="1" customWidth="1"/>
    <col min="6919" max="6919" width="9" style="129" bestFit="1" customWidth="1"/>
    <col min="6920" max="6920" width="8.109375" style="129" bestFit="1" customWidth="1"/>
    <col min="6921" max="6921" width="7.44140625" style="129" customWidth="1"/>
    <col min="6922" max="6922" width="10.44140625" style="129" bestFit="1" customWidth="1"/>
    <col min="6923" max="6925" width="9.33203125" style="129" bestFit="1" customWidth="1"/>
    <col min="6926" max="6926" width="9.44140625" style="129" bestFit="1" customWidth="1"/>
    <col min="6927" max="6928" width="9.33203125" style="129" bestFit="1" customWidth="1"/>
    <col min="6929" max="6929" width="10.44140625" style="129" bestFit="1" customWidth="1"/>
    <col min="6930" max="6931" width="9.33203125" style="129" bestFit="1" customWidth="1"/>
    <col min="6932" max="6932" width="9.44140625" style="129" bestFit="1" customWidth="1"/>
    <col min="6933" max="6933" width="9.33203125" style="129" bestFit="1" customWidth="1"/>
    <col min="6934" max="6934" width="10.44140625" style="129" bestFit="1" customWidth="1"/>
    <col min="6935" max="7164" width="9.109375" style="129"/>
    <col min="7165" max="7165" width="3.109375" style="129" customWidth="1"/>
    <col min="7166" max="7166" width="15.88671875" style="129" customWidth="1"/>
    <col min="7167" max="7167" width="11.44140625" style="129" customWidth="1"/>
    <col min="7168" max="7169" width="16.109375" style="129" customWidth="1"/>
    <col min="7170" max="7170" width="12.109375" style="129" customWidth="1"/>
    <col min="7171" max="7171" width="7.33203125" style="129" customWidth="1"/>
    <col min="7172" max="7172" width="12.33203125" style="129" bestFit="1" customWidth="1"/>
    <col min="7173" max="7174" width="10.109375" style="129" bestFit="1" customWidth="1"/>
    <col min="7175" max="7175" width="9" style="129" bestFit="1" customWidth="1"/>
    <col min="7176" max="7176" width="8.109375" style="129" bestFit="1" customWidth="1"/>
    <col min="7177" max="7177" width="7.44140625" style="129" customWidth="1"/>
    <col min="7178" max="7178" width="10.44140625" style="129" bestFit="1" customWidth="1"/>
    <col min="7179" max="7181" width="9.33203125" style="129" bestFit="1" customWidth="1"/>
    <col min="7182" max="7182" width="9.44140625" style="129" bestFit="1" customWidth="1"/>
    <col min="7183" max="7184" width="9.33203125" style="129" bestFit="1" customWidth="1"/>
    <col min="7185" max="7185" width="10.44140625" style="129" bestFit="1" customWidth="1"/>
    <col min="7186" max="7187" width="9.33203125" style="129" bestFit="1" customWidth="1"/>
    <col min="7188" max="7188" width="9.44140625" style="129" bestFit="1" customWidth="1"/>
    <col min="7189" max="7189" width="9.33203125" style="129" bestFit="1" customWidth="1"/>
    <col min="7190" max="7190" width="10.44140625" style="129" bestFit="1" customWidth="1"/>
    <col min="7191" max="7420" width="9.109375" style="129"/>
    <col min="7421" max="7421" width="3.109375" style="129" customWidth="1"/>
    <col min="7422" max="7422" width="15.88671875" style="129" customWidth="1"/>
    <col min="7423" max="7423" width="11.44140625" style="129" customWidth="1"/>
    <col min="7424" max="7425" width="16.109375" style="129" customWidth="1"/>
    <col min="7426" max="7426" width="12.109375" style="129" customWidth="1"/>
    <col min="7427" max="7427" width="7.33203125" style="129" customWidth="1"/>
    <col min="7428" max="7428" width="12.33203125" style="129" bestFit="1" customWidth="1"/>
    <col min="7429" max="7430" width="10.109375" style="129" bestFit="1" customWidth="1"/>
    <col min="7431" max="7431" width="9" style="129" bestFit="1" customWidth="1"/>
    <col min="7432" max="7432" width="8.109375" style="129" bestFit="1" customWidth="1"/>
    <col min="7433" max="7433" width="7.44140625" style="129" customWidth="1"/>
    <col min="7434" max="7434" width="10.44140625" style="129" bestFit="1" customWidth="1"/>
    <col min="7435" max="7437" width="9.33203125" style="129" bestFit="1" customWidth="1"/>
    <col min="7438" max="7438" width="9.44140625" style="129" bestFit="1" customWidth="1"/>
    <col min="7439" max="7440" width="9.33203125" style="129" bestFit="1" customWidth="1"/>
    <col min="7441" max="7441" width="10.44140625" style="129" bestFit="1" customWidth="1"/>
    <col min="7442" max="7443" width="9.33203125" style="129" bestFit="1" customWidth="1"/>
    <col min="7444" max="7444" width="9.44140625" style="129" bestFit="1" customWidth="1"/>
    <col min="7445" max="7445" width="9.33203125" style="129" bestFit="1" customWidth="1"/>
    <col min="7446" max="7446" width="10.44140625" style="129" bestFit="1" customWidth="1"/>
    <col min="7447" max="7676" width="9.109375" style="129"/>
    <col min="7677" max="7677" width="3.109375" style="129" customWidth="1"/>
    <col min="7678" max="7678" width="15.88671875" style="129" customWidth="1"/>
    <col min="7679" max="7679" width="11.44140625" style="129" customWidth="1"/>
    <col min="7680" max="7681" width="16.109375" style="129" customWidth="1"/>
    <col min="7682" max="7682" width="12.109375" style="129" customWidth="1"/>
    <col min="7683" max="7683" width="7.33203125" style="129" customWidth="1"/>
    <col min="7684" max="7684" width="12.33203125" style="129" bestFit="1" customWidth="1"/>
    <col min="7685" max="7686" width="10.109375" style="129" bestFit="1" customWidth="1"/>
    <col min="7687" max="7687" width="9" style="129" bestFit="1" customWidth="1"/>
    <col min="7688" max="7688" width="8.109375" style="129" bestFit="1" customWidth="1"/>
    <col min="7689" max="7689" width="7.44140625" style="129" customWidth="1"/>
    <col min="7690" max="7690" width="10.44140625" style="129" bestFit="1" customWidth="1"/>
    <col min="7691" max="7693" width="9.33203125" style="129" bestFit="1" customWidth="1"/>
    <col min="7694" max="7694" width="9.44140625" style="129" bestFit="1" customWidth="1"/>
    <col min="7695" max="7696" width="9.33203125" style="129" bestFit="1" customWidth="1"/>
    <col min="7697" max="7697" width="10.44140625" style="129" bestFit="1" customWidth="1"/>
    <col min="7698" max="7699" width="9.33203125" style="129" bestFit="1" customWidth="1"/>
    <col min="7700" max="7700" width="9.44140625" style="129" bestFit="1" customWidth="1"/>
    <col min="7701" max="7701" width="9.33203125" style="129" bestFit="1" customWidth="1"/>
    <col min="7702" max="7702" width="10.44140625" style="129" bestFit="1" customWidth="1"/>
    <col min="7703" max="7932" width="9.109375" style="129"/>
    <col min="7933" max="7933" width="3.109375" style="129" customWidth="1"/>
    <col min="7934" max="7934" width="15.88671875" style="129" customWidth="1"/>
    <col min="7935" max="7935" width="11.44140625" style="129" customWidth="1"/>
    <col min="7936" max="7937" width="16.109375" style="129" customWidth="1"/>
    <col min="7938" max="7938" width="12.109375" style="129" customWidth="1"/>
    <col min="7939" max="7939" width="7.33203125" style="129" customWidth="1"/>
    <col min="7940" max="7940" width="12.33203125" style="129" bestFit="1" customWidth="1"/>
    <col min="7941" max="7942" width="10.109375" style="129" bestFit="1" customWidth="1"/>
    <col min="7943" max="7943" width="9" style="129" bestFit="1" customWidth="1"/>
    <col min="7944" max="7944" width="8.109375" style="129" bestFit="1" customWidth="1"/>
    <col min="7945" max="7945" width="7.44140625" style="129" customWidth="1"/>
    <col min="7946" max="7946" width="10.44140625" style="129" bestFit="1" customWidth="1"/>
    <col min="7947" max="7949" width="9.33203125" style="129" bestFit="1" customWidth="1"/>
    <col min="7950" max="7950" width="9.44140625" style="129" bestFit="1" customWidth="1"/>
    <col min="7951" max="7952" width="9.33203125" style="129" bestFit="1" customWidth="1"/>
    <col min="7953" max="7953" width="10.44140625" style="129" bestFit="1" customWidth="1"/>
    <col min="7954" max="7955" width="9.33203125" style="129" bestFit="1" customWidth="1"/>
    <col min="7956" max="7956" width="9.44140625" style="129" bestFit="1" customWidth="1"/>
    <col min="7957" max="7957" width="9.33203125" style="129" bestFit="1" customWidth="1"/>
    <col min="7958" max="7958" width="10.44140625" style="129" bestFit="1" customWidth="1"/>
    <col min="7959" max="8188" width="9.109375" style="129"/>
    <col min="8189" max="8189" width="3.109375" style="129" customWidth="1"/>
    <col min="8190" max="8190" width="15.88671875" style="129" customWidth="1"/>
    <col min="8191" max="8191" width="11.44140625" style="129" customWidth="1"/>
    <col min="8192" max="8193" width="16.109375" style="129" customWidth="1"/>
    <col min="8194" max="8194" width="12.109375" style="129" customWidth="1"/>
    <col min="8195" max="8195" width="7.33203125" style="129" customWidth="1"/>
    <col min="8196" max="8196" width="12.33203125" style="129" bestFit="1" customWidth="1"/>
    <col min="8197" max="8198" width="10.109375" style="129" bestFit="1" customWidth="1"/>
    <col min="8199" max="8199" width="9" style="129" bestFit="1" customWidth="1"/>
    <col min="8200" max="8200" width="8.109375" style="129" bestFit="1" customWidth="1"/>
    <col min="8201" max="8201" width="7.44140625" style="129" customWidth="1"/>
    <col min="8202" max="8202" width="10.44140625" style="129" bestFit="1" customWidth="1"/>
    <col min="8203" max="8205" width="9.33203125" style="129" bestFit="1" customWidth="1"/>
    <col min="8206" max="8206" width="9.44140625" style="129" bestFit="1" customWidth="1"/>
    <col min="8207" max="8208" width="9.33203125" style="129" bestFit="1" customWidth="1"/>
    <col min="8209" max="8209" width="10.44140625" style="129" bestFit="1" customWidth="1"/>
    <col min="8210" max="8211" width="9.33203125" style="129" bestFit="1" customWidth="1"/>
    <col min="8212" max="8212" width="9.44140625" style="129" bestFit="1" customWidth="1"/>
    <col min="8213" max="8213" width="9.33203125" style="129" bestFit="1" customWidth="1"/>
    <col min="8214" max="8214" width="10.44140625" style="129" bestFit="1" customWidth="1"/>
    <col min="8215" max="8444" width="9.109375" style="129"/>
    <col min="8445" max="8445" width="3.109375" style="129" customWidth="1"/>
    <col min="8446" max="8446" width="15.88671875" style="129" customWidth="1"/>
    <col min="8447" max="8447" width="11.44140625" style="129" customWidth="1"/>
    <col min="8448" max="8449" width="16.109375" style="129" customWidth="1"/>
    <col min="8450" max="8450" width="12.109375" style="129" customWidth="1"/>
    <col min="8451" max="8451" width="7.33203125" style="129" customWidth="1"/>
    <col min="8452" max="8452" width="12.33203125" style="129" bestFit="1" customWidth="1"/>
    <col min="8453" max="8454" width="10.109375" style="129" bestFit="1" customWidth="1"/>
    <col min="8455" max="8455" width="9" style="129" bestFit="1" customWidth="1"/>
    <col min="8456" max="8456" width="8.109375" style="129" bestFit="1" customWidth="1"/>
    <col min="8457" max="8457" width="7.44140625" style="129" customWidth="1"/>
    <col min="8458" max="8458" width="10.44140625" style="129" bestFit="1" customWidth="1"/>
    <col min="8459" max="8461" width="9.33203125" style="129" bestFit="1" customWidth="1"/>
    <col min="8462" max="8462" width="9.44140625" style="129" bestFit="1" customWidth="1"/>
    <col min="8463" max="8464" width="9.33203125" style="129" bestFit="1" customWidth="1"/>
    <col min="8465" max="8465" width="10.44140625" style="129" bestFit="1" customWidth="1"/>
    <col min="8466" max="8467" width="9.33203125" style="129" bestFit="1" customWidth="1"/>
    <col min="8468" max="8468" width="9.44140625" style="129" bestFit="1" customWidth="1"/>
    <col min="8469" max="8469" width="9.33203125" style="129" bestFit="1" customWidth="1"/>
    <col min="8470" max="8470" width="10.44140625" style="129" bestFit="1" customWidth="1"/>
    <col min="8471" max="8700" width="9.109375" style="129"/>
    <col min="8701" max="8701" width="3.109375" style="129" customWidth="1"/>
    <col min="8702" max="8702" width="15.88671875" style="129" customWidth="1"/>
    <col min="8703" max="8703" width="11.44140625" style="129" customWidth="1"/>
    <col min="8704" max="8705" width="16.109375" style="129" customWidth="1"/>
    <col min="8706" max="8706" width="12.109375" style="129" customWidth="1"/>
    <col min="8707" max="8707" width="7.33203125" style="129" customWidth="1"/>
    <col min="8708" max="8708" width="12.33203125" style="129" bestFit="1" customWidth="1"/>
    <col min="8709" max="8710" width="10.109375" style="129" bestFit="1" customWidth="1"/>
    <col min="8711" max="8711" width="9" style="129" bestFit="1" customWidth="1"/>
    <col min="8712" max="8712" width="8.109375" style="129" bestFit="1" customWidth="1"/>
    <col min="8713" max="8713" width="7.44140625" style="129" customWidth="1"/>
    <col min="8714" max="8714" width="10.44140625" style="129" bestFit="1" customWidth="1"/>
    <col min="8715" max="8717" width="9.33203125" style="129" bestFit="1" customWidth="1"/>
    <col min="8718" max="8718" width="9.44140625" style="129" bestFit="1" customWidth="1"/>
    <col min="8719" max="8720" width="9.33203125" style="129" bestFit="1" customWidth="1"/>
    <col min="8721" max="8721" width="10.44140625" style="129" bestFit="1" customWidth="1"/>
    <col min="8722" max="8723" width="9.33203125" style="129" bestFit="1" customWidth="1"/>
    <col min="8724" max="8724" width="9.44140625" style="129" bestFit="1" customWidth="1"/>
    <col min="8725" max="8725" width="9.33203125" style="129" bestFit="1" customWidth="1"/>
    <col min="8726" max="8726" width="10.44140625" style="129" bestFit="1" customWidth="1"/>
    <col min="8727" max="8956" width="9.109375" style="129"/>
    <col min="8957" max="8957" width="3.109375" style="129" customWidth="1"/>
    <col min="8958" max="8958" width="15.88671875" style="129" customWidth="1"/>
    <col min="8959" max="8959" width="11.44140625" style="129" customWidth="1"/>
    <col min="8960" max="8961" width="16.109375" style="129" customWidth="1"/>
    <col min="8962" max="8962" width="12.109375" style="129" customWidth="1"/>
    <col min="8963" max="8963" width="7.33203125" style="129" customWidth="1"/>
    <col min="8964" max="8964" width="12.33203125" style="129" bestFit="1" customWidth="1"/>
    <col min="8965" max="8966" width="10.109375" style="129" bestFit="1" customWidth="1"/>
    <col min="8967" max="8967" width="9" style="129" bestFit="1" customWidth="1"/>
    <col min="8968" max="8968" width="8.109375" style="129" bestFit="1" customWidth="1"/>
    <col min="8969" max="8969" width="7.44140625" style="129" customWidth="1"/>
    <col min="8970" max="8970" width="10.44140625" style="129" bestFit="1" customWidth="1"/>
    <col min="8971" max="8973" width="9.33203125" style="129" bestFit="1" customWidth="1"/>
    <col min="8974" max="8974" width="9.44140625" style="129" bestFit="1" customWidth="1"/>
    <col min="8975" max="8976" width="9.33203125" style="129" bestFit="1" customWidth="1"/>
    <col min="8977" max="8977" width="10.44140625" style="129" bestFit="1" customWidth="1"/>
    <col min="8978" max="8979" width="9.33203125" style="129" bestFit="1" customWidth="1"/>
    <col min="8980" max="8980" width="9.44140625" style="129" bestFit="1" customWidth="1"/>
    <col min="8981" max="8981" width="9.33203125" style="129" bestFit="1" customWidth="1"/>
    <col min="8982" max="8982" width="10.44140625" style="129" bestFit="1" customWidth="1"/>
    <col min="8983" max="9212" width="9.109375" style="129"/>
    <col min="9213" max="9213" width="3.109375" style="129" customWidth="1"/>
    <col min="9214" max="9214" width="15.88671875" style="129" customWidth="1"/>
    <col min="9215" max="9215" width="11.44140625" style="129" customWidth="1"/>
    <col min="9216" max="9217" width="16.109375" style="129" customWidth="1"/>
    <col min="9218" max="9218" width="12.109375" style="129" customWidth="1"/>
    <col min="9219" max="9219" width="7.33203125" style="129" customWidth="1"/>
    <col min="9220" max="9220" width="12.33203125" style="129" bestFit="1" customWidth="1"/>
    <col min="9221" max="9222" width="10.109375" style="129" bestFit="1" customWidth="1"/>
    <col min="9223" max="9223" width="9" style="129" bestFit="1" customWidth="1"/>
    <col min="9224" max="9224" width="8.109375" style="129" bestFit="1" customWidth="1"/>
    <col min="9225" max="9225" width="7.44140625" style="129" customWidth="1"/>
    <col min="9226" max="9226" width="10.44140625" style="129" bestFit="1" customWidth="1"/>
    <col min="9227" max="9229" width="9.33203125" style="129" bestFit="1" customWidth="1"/>
    <col min="9230" max="9230" width="9.44140625" style="129" bestFit="1" customWidth="1"/>
    <col min="9231" max="9232" width="9.33203125" style="129" bestFit="1" customWidth="1"/>
    <col min="9233" max="9233" width="10.44140625" style="129" bestFit="1" customWidth="1"/>
    <col min="9234" max="9235" width="9.33203125" style="129" bestFit="1" customWidth="1"/>
    <col min="9236" max="9236" width="9.44140625" style="129" bestFit="1" customWidth="1"/>
    <col min="9237" max="9237" width="9.33203125" style="129" bestFit="1" customWidth="1"/>
    <col min="9238" max="9238" width="10.44140625" style="129" bestFit="1" customWidth="1"/>
    <col min="9239" max="9468" width="9.109375" style="129"/>
    <col min="9469" max="9469" width="3.109375" style="129" customWidth="1"/>
    <col min="9470" max="9470" width="15.88671875" style="129" customWidth="1"/>
    <col min="9471" max="9471" width="11.44140625" style="129" customWidth="1"/>
    <col min="9472" max="9473" width="16.109375" style="129" customWidth="1"/>
    <col min="9474" max="9474" width="12.109375" style="129" customWidth="1"/>
    <col min="9475" max="9475" width="7.33203125" style="129" customWidth="1"/>
    <col min="9476" max="9476" width="12.33203125" style="129" bestFit="1" customWidth="1"/>
    <col min="9477" max="9478" width="10.109375" style="129" bestFit="1" customWidth="1"/>
    <col min="9479" max="9479" width="9" style="129" bestFit="1" customWidth="1"/>
    <col min="9480" max="9480" width="8.109375" style="129" bestFit="1" customWidth="1"/>
    <col min="9481" max="9481" width="7.44140625" style="129" customWidth="1"/>
    <col min="9482" max="9482" width="10.44140625" style="129" bestFit="1" customWidth="1"/>
    <col min="9483" max="9485" width="9.33203125" style="129" bestFit="1" customWidth="1"/>
    <col min="9486" max="9486" width="9.44140625" style="129" bestFit="1" customWidth="1"/>
    <col min="9487" max="9488" width="9.33203125" style="129" bestFit="1" customWidth="1"/>
    <col min="9489" max="9489" width="10.44140625" style="129" bestFit="1" customWidth="1"/>
    <col min="9490" max="9491" width="9.33203125" style="129" bestFit="1" customWidth="1"/>
    <col min="9492" max="9492" width="9.44140625" style="129" bestFit="1" customWidth="1"/>
    <col min="9493" max="9493" width="9.33203125" style="129" bestFit="1" customWidth="1"/>
    <col min="9494" max="9494" width="10.44140625" style="129" bestFit="1" customWidth="1"/>
    <col min="9495" max="9724" width="9.109375" style="129"/>
    <col min="9725" max="9725" width="3.109375" style="129" customWidth="1"/>
    <col min="9726" max="9726" width="15.88671875" style="129" customWidth="1"/>
    <col min="9727" max="9727" width="11.44140625" style="129" customWidth="1"/>
    <col min="9728" max="9729" width="16.109375" style="129" customWidth="1"/>
    <col min="9730" max="9730" width="12.109375" style="129" customWidth="1"/>
    <col min="9731" max="9731" width="7.33203125" style="129" customWidth="1"/>
    <col min="9732" max="9732" width="12.33203125" style="129" bestFit="1" customWidth="1"/>
    <col min="9733" max="9734" width="10.109375" style="129" bestFit="1" customWidth="1"/>
    <col min="9735" max="9735" width="9" style="129" bestFit="1" customWidth="1"/>
    <col min="9736" max="9736" width="8.109375" style="129" bestFit="1" customWidth="1"/>
    <col min="9737" max="9737" width="7.44140625" style="129" customWidth="1"/>
    <col min="9738" max="9738" width="10.44140625" style="129" bestFit="1" customWidth="1"/>
    <col min="9739" max="9741" width="9.33203125" style="129" bestFit="1" customWidth="1"/>
    <col min="9742" max="9742" width="9.44140625" style="129" bestFit="1" customWidth="1"/>
    <col min="9743" max="9744" width="9.33203125" style="129" bestFit="1" customWidth="1"/>
    <col min="9745" max="9745" width="10.44140625" style="129" bestFit="1" customWidth="1"/>
    <col min="9746" max="9747" width="9.33203125" style="129" bestFit="1" customWidth="1"/>
    <col min="9748" max="9748" width="9.44140625" style="129" bestFit="1" customWidth="1"/>
    <col min="9749" max="9749" width="9.33203125" style="129" bestFit="1" customWidth="1"/>
    <col min="9750" max="9750" width="10.44140625" style="129" bestFit="1" customWidth="1"/>
    <col min="9751" max="9980" width="9.109375" style="129"/>
    <col min="9981" max="9981" width="3.109375" style="129" customWidth="1"/>
    <col min="9982" max="9982" width="15.88671875" style="129" customWidth="1"/>
    <col min="9983" max="9983" width="11.44140625" style="129" customWidth="1"/>
    <col min="9984" max="9985" width="16.109375" style="129" customWidth="1"/>
    <col min="9986" max="9986" width="12.109375" style="129" customWidth="1"/>
    <col min="9987" max="9987" width="7.33203125" style="129" customWidth="1"/>
    <col min="9988" max="9988" width="12.33203125" style="129" bestFit="1" customWidth="1"/>
    <col min="9989" max="9990" width="10.109375" style="129" bestFit="1" customWidth="1"/>
    <col min="9991" max="9991" width="9" style="129" bestFit="1" customWidth="1"/>
    <col min="9992" max="9992" width="8.109375" style="129" bestFit="1" customWidth="1"/>
    <col min="9993" max="9993" width="7.44140625" style="129" customWidth="1"/>
    <col min="9994" max="9994" width="10.44140625" style="129" bestFit="1" customWidth="1"/>
    <col min="9995" max="9997" width="9.33203125" style="129" bestFit="1" customWidth="1"/>
    <col min="9998" max="9998" width="9.44140625" style="129" bestFit="1" customWidth="1"/>
    <col min="9999" max="10000" width="9.33203125" style="129" bestFit="1" customWidth="1"/>
    <col min="10001" max="10001" width="10.44140625" style="129" bestFit="1" customWidth="1"/>
    <col min="10002" max="10003" width="9.33203125" style="129" bestFit="1" customWidth="1"/>
    <col min="10004" max="10004" width="9.44140625" style="129" bestFit="1" customWidth="1"/>
    <col min="10005" max="10005" width="9.33203125" style="129" bestFit="1" customWidth="1"/>
    <col min="10006" max="10006" width="10.44140625" style="129" bestFit="1" customWidth="1"/>
    <col min="10007" max="10236" width="9.109375" style="129"/>
    <col min="10237" max="10237" width="3.109375" style="129" customWidth="1"/>
    <col min="10238" max="10238" width="15.88671875" style="129" customWidth="1"/>
    <col min="10239" max="10239" width="11.44140625" style="129" customWidth="1"/>
    <col min="10240" max="10241" width="16.109375" style="129" customWidth="1"/>
    <col min="10242" max="10242" width="12.109375" style="129" customWidth="1"/>
    <col min="10243" max="10243" width="7.33203125" style="129" customWidth="1"/>
    <col min="10244" max="10244" width="12.33203125" style="129" bestFit="1" customWidth="1"/>
    <col min="10245" max="10246" width="10.109375" style="129" bestFit="1" customWidth="1"/>
    <col min="10247" max="10247" width="9" style="129" bestFit="1" customWidth="1"/>
    <col min="10248" max="10248" width="8.109375" style="129" bestFit="1" customWidth="1"/>
    <col min="10249" max="10249" width="7.44140625" style="129" customWidth="1"/>
    <col min="10250" max="10250" width="10.44140625" style="129" bestFit="1" customWidth="1"/>
    <col min="10251" max="10253" width="9.33203125" style="129" bestFit="1" customWidth="1"/>
    <col min="10254" max="10254" width="9.44140625" style="129" bestFit="1" customWidth="1"/>
    <col min="10255" max="10256" width="9.33203125" style="129" bestFit="1" customWidth="1"/>
    <col min="10257" max="10257" width="10.44140625" style="129" bestFit="1" customWidth="1"/>
    <col min="10258" max="10259" width="9.33203125" style="129" bestFit="1" customWidth="1"/>
    <col min="10260" max="10260" width="9.44140625" style="129" bestFit="1" customWidth="1"/>
    <col min="10261" max="10261" width="9.33203125" style="129" bestFit="1" customWidth="1"/>
    <col min="10262" max="10262" width="10.44140625" style="129" bestFit="1" customWidth="1"/>
    <col min="10263" max="10492" width="9.109375" style="129"/>
    <col min="10493" max="10493" width="3.109375" style="129" customWidth="1"/>
    <col min="10494" max="10494" width="15.88671875" style="129" customWidth="1"/>
    <col min="10495" max="10495" width="11.44140625" style="129" customWidth="1"/>
    <col min="10496" max="10497" width="16.109375" style="129" customWidth="1"/>
    <col min="10498" max="10498" width="12.109375" style="129" customWidth="1"/>
    <col min="10499" max="10499" width="7.33203125" style="129" customWidth="1"/>
    <col min="10500" max="10500" width="12.33203125" style="129" bestFit="1" customWidth="1"/>
    <col min="10501" max="10502" width="10.109375" style="129" bestFit="1" customWidth="1"/>
    <col min="10503" max="10503" width="9" style="129" bestFit="1" customWidth="1"/>
    <col min="10504" max="10504" width="8.109375" style="129" bestFit="1" customWidth="1"/>
    <col min="10505" max="10505" width="7.44140625" style="129" customWidth="1"/>
    <col min="10506" max="10506" width="10.44140625" style="129" bestFit="1" customWidth="1"/>
    <col min="10507" max="10509" width="9.33203125" style="129" bestFit="1" customWidth="1"/>
    <col min="10510" max="10510" width="9.44140625" style="129" bestFit="1" customWidth="1"/>
    <col min="10511" max="10512" width="9.33203125" style="129" bestFit="1" customWidth="1"/>
    <col min="10513" max="10513" width="10.44140625" style="129" bestFit="1" customWidth="1"/>
    <col min="10514" max="10515" width="9.33203125" style="129" bestFit="1" customWidth="1"/>
    <col min="10516" max="10516" width="9.44140625" style="129" bestFit="1" customWidth="1"/>
    <col min="10517" max="10517" width="9.33203125" style="129" bestFit="1" customWidth="1"/>
    <col min="10518" max="10518" width="10.44140625" style="129" bestFit="1" customWidth="1"/>
    <col min="10519" max="10748" width="9.109375" style="129"/>
    <col min="10749" max="10749" width="3.109375" style="129" customWidth="1"/>
    <col min="10750" max="10750" width="15.88671875" style="129" customWidth="1"/>
    <col min="10751" max="10751" width="11.44140625" style="129" customWidth="1"/>
    <col min="10752" max="10753" width="16.109375" style="129" customWidth="1"/>
    <col min="10754" max="10754" width="12.109375" style="129" customWidth="1"/>
    <col min="10755" max="10755" width="7.33203125" style="129" customWidth="1"/>
    <col min="10756" max="10756" width="12.33203125" style="129" bestFit="1" customWidth="1"/>
    <col min="10757" max="10758" width="10.109375" style="129" bestFit="1" customWidth="1"/>
    <col min="10759" max="10759" width="9" style="129" bestFit="1" customWidth="1"/>
    <col min="10760" max="10760" width="8.109375" style="129" bestFit="1" customWidth="1"/>
    <col min="10761" max="10761" width="7.44140625" style="129" customWidth="1"/>
    <col min="10762" max="10762" width="10.44140625" style="129" bestFit="1" customWidth="1"/>
    <col min="10763" max="10765" width="9.33203125" style="129" bestFit="1" customWidth="1"/>
    <col min="10766" max="10766" width="9.44140625" style="129" bestFit="1" customWidth="1"/>
    <col min="10767" max="10768" width="9.33203125" style="129" bestFit="1" customWidth="1"/>
    <col min="10769" max="10769" width="10.44140625" style="129" bestFit="1" customWidth="1"/>
    <col min="10770" max="10771" width="9.33203125" style="129" bestFit="1" customWidth="1"/>
    <col min="10772" max="10772" width="9.44140625" style="129" bestFit="1" customWidth="1"/>
    <col min="10773" max="10773" width="9.33203125" style="129" bestFit="1" customWidth="1"/>
    <col min="10774" max="10774" width="10.44140625" style="129" bestFit="1" customWidth="1"/>
    <col min="10775" max="11004" width="9.109375" style="129"/>
    <col min="11005" max="11005" width="3.109375" style="129" customWidth="1"/>
    <col min="11006" max="11006" width="15.88671875" style="129" customWidth="1"/>
    <col min="11007" max="11007" width="11.44140625" style="129" customWidth="1"/>
    <col min="11008" max="11009" width="16.109375" style="129" customWidth="1"/>
    <col min="11010" max="11010" width="12.109375" style="129" customWidth="1"/>
    <col min="11011" max="11011" width="7.33203125" style="129" customWidth="1"/>
    <col min="11012" max="11012" width="12.33203125" style="129" bestFit="1" customWidth="1"/>
    <col min="11013" max="11014" width="10.109375" style="129" bestFit="1" customWidth="1"/>
    <col min="11015" max="11015" width="9" style="129" bestFit="1" customWidth="1"/>
    <col min="11016" max="11016" width="8.109375" style="129" bestFit="1" customWidth="1"/>
    <col min="11017" max="11017" width="7.44140625" style="129" customWidth="1"/>
    <col min="11018" max="11018" width="10.44140625" style="129" bestFit="1" customWidth="1"/>
    <col min="11019" max="11021" width="9.33203125" style="129" bestFit="1" customWidth="1"/>
    <col min="11022" max="11022" width="9.44140625" style="129" bestFit="1" customWidth="1"/>
    <col min="11023" max="11024" width="9.33203125" style="129" bestFit="1" customWidth="1"/>
    <col min="11025" max="11025" width="10.44140625" style="129" bestFit="1" customWidth="1"/>
    <col min="11026" max="11027" width="9.33203125" style="129" bestFit="1" customWidth="1"/>
    <col min="11028" max="11028" width="9.44140625" style="129" bestFit="1" customWidth="1"/>
    <col min="11029" max="11029" width="9.33203125" style="129" bestFit="1" customWidth="1"/>
    <col min="11030" max="11030" width="10.44140625" style="129" bestFit="1" customWidth="1"/>
    <col min="11031" max="11260" width="9.109375" style="129"/>
    <col min="11261" max="11261" width="3.109375" style="129" customWidth="1"/>
    <col min="11262" max="11262" width="15.88671875" style="129" customWidth="1"/>
    <col min="11263" max="11263" width="11.44140625" style="129" customWidth="1"/>
    <col min="11264" max="11265" width="16.109375" style="129" customWidth="1"/>
    <col min="11266" max="11266" width="12.109375" style="129" customWidth="1"/>
    <col min="11267" max="11267" width="7.33203125" style="129" customWidth="1"/>
    <col min="11268" max="11268" width="12.33203125" style="129" bestFit="1" customWidth="1"/>
    <col min="11269" max="11270" width="10.109375" style="129" bestFit="1" customWidth="1"/>
    <col min="11271" max="11271" width="9" style="129" bestFit="1" customWidth="1"/>
    <col min="11272" max="11272" width="8.109375" style="129" bestFit="1" customWidth="1"/>
    <col min="11273" max="11273" width="7.44140625" style="129" customWidth="1"/>
    <col min="11274" max="11274" width="10.44140625" style="129" bestFit="1" customWidth="1"/>
    <col min="11275" max="11277" width="9.33203125" style="129" bestFit="1" customWidth="1"/>
    <col min="11278" max="11278" width="9.44140625" style="129" bestFit="1" customWidth="1"/>
    <col min="11279" max="11280" width="9.33203125" style="129" bestFit="1" customWidth="1"/>
    <col min="11281" max="11281" width="10.44140625" style="129" bestFit="1" customWidth="1"/>
    <col min="11282" max="11283" width="9.33203125" style="129" bestFit="1" customWidth="1"/>
    <col min="11284" max="11284" width="9.44140625" style="129" bestFit="1" customWidth="1"/>
    <col min="11285" max="11285" width="9.33203125" style="129" bestFit="1" customWidth="1"/>
    <col min="11286" max="11286" width="10.44140625" style="129" bestFit="1" customWidth="1"/>
    <col min="11287" max="11516" width="9.109375" style="129"/>
    <col min="11517" max="11517" width="3.109375" style="129" customWidth="1"/>
    <col min="11518" max="11518" width="15.88671875" style="129" customWidth="1"/>
    <col min="11519" max="11519" width="11.44140625" style="129" customWidth="1"/>
    <col min="11520" max="11521" width="16.109375" style="129" customWidth="1"/>
    <col min="11522" max="11522" width="12.109375" style="129" customWidth="1"/>
    <col min="11523" max="11523" width="7.33203125" style="129" customWidth="1"/>
    <col min="11524" max="11524" width="12.33203125" style="129" bestFit="1" customWidth="1"/>
    <col min="11525" max="11526" width="10.109375" style="129" bestFit="1" customWidth="1"/>
    <col min="11527" max="11527" width="9" style="129" bestFit="1" customWidth="1"/>
    <col min="11528" max="11528" width="8.109375" style="129" bestFit="1" customWidth="1"/>
    <col min="11529" max="11529" width="7.44140625" style="129" customWidth="1"/>
    <col min="11530" max="11530" width="10.44140625" style="129" bestFit="1" customWidth="1"/>
    <col min="11531" max="11533" width="9.33203125" style="129" bestFit="1" customWidth="1"/>
    <col min="11534" max="11534" width="9.44140625" style="129" bestFit="1" customWidth="1"/>
    <col min="11535" max="11536" width="9.33203125" style="129" bestFit="1" customWidth="1"/>
    <col min="11537" max="11537" width="10.44140625" style="129" bestFit="1" customWidth="1"/>
    <col min="11538" max="11539" width="9.33203125" style="129" bestFit="1" customWidth="1"/>
    <col min="11540" max="11540" width="9.44140625" style="129" bestFit="1" customWidth="1"/>
    <col min="11541" max="11541" width="9.33203125" style="129" bestFit="1" customWidth="1"/>
    <col min="11542" max="11542" width="10.44140625" style="129" bestFit="1" customWidth="1"/>
    <col min="11543" max="11772" width="9.109375" style="129"/>
    <col min="11773" max="11773" width="3.109375" style="129" customWidth="1"/>
    <col min="11774" max="11774" width="15.88671875" style="129" customWidth="1"/>
    <col min="11775" max="11775" width="11.44140625" style="129" customWidth="1"/>
    <col min="11776" max="11777" width="16.109375" style="129" customWidth="1"/>
    <col min="11778" max="11778" width="12.109375" style="129" customWidth="1"/>
    <col min="11779" max="11779" width="7.33203125" style="129" customWidth="1"/>
    <col min="11780" max="11780" width="12.33203125" style="129" bestFit="1" customWidth="1"/>
    <col min="11781" max="11782" width="10.109375" style="129" bestFit="1" customWidth="1"/>
    <col min="11783" max="11783" width="9" style="129" bestFit="1" customWidth="1"/>
    <col min="11784" max="11784" width="8.109375" style="129" bestFit="1" customWidth="1"/>
    <col min="11785" max="11785" width="7.44140625" style="129" customWidth="1"/>
    <col min="11786" max="11786" width="10.44140625" style="129" bestFit="1" customWidth="1"/>
    <col min="11787" max="11789" width="9.33203125" style="129" bestFit="1" customWidth="1"/>
    <col min="11790" max="11790" width="9.44140625" style="129" bestFit="1" customWidth="1"/>
    <col min="11791" max="11792" width="9.33203125" style="129" bestFit="1" customWidth="1"/>
    <col min="11793" max="11793" width="10.44140625" style="129" bestFit="1" customWidth="1"/>
    <col min="11794" max="11795" width="9.33203125" style="129" bestFit="1" customWidth="1"/>
    <col min="11796" max="11796" width="9.44140625" style="129" bestFit="1" customWidth="1"/>
    <col min="11797" max="11797" width="9.33203125" style="129" bestFit="1" customWidth="1"/>
    <col min="11798" max="11798" width="10.44140625" style="129" bestFit="1" customWidth="1"/>
    <col min="11799" max="12028" width="9.109375" style="129"/>
    <col min="12029" max="12029" width="3.109375" style="129" customWidth="1"/>
    <col min="12030" max="12030" width="15.88671875" style="129" customWidth="1"/>
    <col min="12031" max="12031" width="11.44140625" style="129" customWidth="1"/>
    <col min="12032" max="12033" width="16.109375" style="129" customWidth="1"/>
    <col min="12034" max="12034" width="12.109375" style="129" customWidth="1"/>
    <col min="12035" max="12035" width="7.33203125" style="129" customWidth="1"/>
    <col min="12036" max="12036" width="12.33203125" style="129" bestFit="1" customWidth="1"/>
    <col min="12037" max="12038" width="10.109375" style="129" bestFit="1" customWidth="1"/>
    <col min="12039" max="12039" width="9" style="129" bestFit="1" customWidth="1"/>
    <col min="12040" max="12040" width="8.109375" style="129" bestFit="1" customWidth="1"/>
    <col min="12041" max="12041" width="7.44140625" style="129" customWidth="1"/>
    <col min="12042" max="12042" width="10.44140625" style="129" bestFit="1" customWidth="1"/>
    <col min="12043" max="12045" width="9.33203125" style="129" bestFit="1" customWidth="1"/>
    <col min="12046" max="12046" width="9.44140625" style="129" bestFit="1" customWidth="1"/>
    <col min="12047" max="12048" width="9.33203125" style="129" bestFit="1" customWidth="1"/>
    <col min="12049" max="12049" width="10.44140625" style="129" bestFit="1" customWidth="1"/>
    <col min="12050" max="12051" width="9.33203125" style="129" bestFit="1" customWidth="1"/>
    <col min="12052" max="12052" width="9.44140625" style="129" bestFit="1" customWidth="1"/>
    <col min="12053" max="12053" width="9.33203125" style="129" bestFit="1" customWidth="1"/>
    <col min="12054" max="12054" width="10.44140625" style="129" bestFit="1" customWidth="1"/>
    <col min="12055" max="12284" width="9.109375" style="129"/>
    <col min="12285" max="12285" width="3.109375" style="129" customWidth="1"/>
    <col min="12286" max="12286" width="15.88671875" style="129" customWidth="1"/>
    <col min="12287" max="12287" width="11.44140625" style="129" customWidth="1"/>
    <col min="12288" max="12289" width="16.109375" style="129" customWidth="1"/>
    <col min="12290" max="12290" width="12.109375" style="129" customWidth="1"/>
    <col min="12291" max="12291" width="7.33203125" style="129" customWidth="1"/>
    <col min="12292" max="12292" width="12.33203125" style="129" bestFit="1" customWidth="1"/>
    <col min="12293" max="12294" width="10.109375" style="129" bestFit="1" customWidth="1"/>
    <col min="12295" max="12295" width="9" style="129" bestFit="1" customWidth="1"/>
    <col min="12296" max="12296" width="8.109375" style="129" bestFit="1" customWidth="1"/>
    <col min="12297" max="12297" width="7.44140625" style="129" customWidth="1"/>
    <col min="12298" max="12298" width="10.44140625" style="129" bestFit="1" customWidth="1"/>
    <col min="12299" max="12301" width="9.33203125" style="129" bestFit="1" customWidth="1"/>
    <col min="12302" max="12302" width="9.44140625" style="129" bestFit="1" customWidth="1"/>
    <col min="12303" max="12304" width="9.33203125" style="129" bestFit="1" customWidth="1"/>
    <col min="12305" max="12305" width="10.44140625" style="129" bestFit="1" customWidth="1"/>
    <col min="12306" max="12307" width="9.33203125" style="129" bestFit="1" customWidth="1"/>
    <col min="12308" max="12308" width="9.44140625" style="129" bestFit="1" customWidth="1"/>
    <col min="12309" max="12309" width="9.33203125" style="129" bestFit="1" customWidth="1"/>
    <col min="12310" max="12310" width="10.44140625" style="129" bestFit="1" customWidth="1"/>
    <col min="12311" max="12540" width="9.109375" style="129"/>
    <col min="12541" max="12541" width="3.109375" style="129" customWidth="1"/>
    <col min="12542" max="12542" width="15.88671875" style="129" customWidth="1"/>
    <col min="12543" max="12543" width="11.44140625" style="129" customWidth="1"/>
    <col min="12544" max="12545" width="16.109375" style="129" customWidth="1"/>
    <col min="12546" max="12546" width="12.109375" style="129" customWidth="1"/>
    <col min="12547" max="12547" width="7.33203125" style="129" customWidth="1"/>
    <col min="12548" max="12548" width="12.33203125" style="129" bestFit="1" customWidth="1"/>
    <col min="12549" max="12550" width="10.109375" style="129" bestFit="1" customWidth="1"/>
    <col min="12551" max="12551" width="9" style="129" bestFit="1" customWidth="1"/>
    <col min="12552" max="12552" width="8.109375" style="129" bestFit="1" customWidth="1"/>
    <col min="12553" max="12553" width="7.44140625" style="129" customWidth="1"/>
    <col min="12554" max="12554" width="10.44140625" style="129" bestFit="1" customWidth="1"/>
    <col min="12555" max="12557" width="9.33203125" style="129" bestFit="1" customWidth="1"/>
    <col min="12558" max="12558" width="9.44140625" style="129" bestFit="1" customWidth="1"/>
    <col min="12559" max="12560" width="9.33203125" style="129" bestFit="1" customWidth="1"/>
    <col min="12561" max="12561" width="10.44140625" style="129" bestFit="1" customWidth="1"/>
    <col min="12562" max="12563" width="9.33203125" style="129" bestFit="1" customWidth="1"/>
    <col min="12564" max="12564" width="9.44140625" style="129" bestFit="1" customWidth="1"/>
    <col min="12565" max="12565" width="9.33203125" style="129" bestFit="1" customWidth="1"/>
    <col min="12566" max="12566" width="10.44140625" style="129" bestFit="1" customWidth="1"/>
    <col min="12567" max="12796" width="9.109375" style="129"/>
    <col min="12797" max="12797" width="3.109375" style="129" customWidth="1"/>
    <col min="12798" max="12798" width="15.88671875" style="129" customWidth="1"/>
    <col min="12799" max="12799" width="11.44140625" style="129" customWidth="1"/>
    <col min="12800" max="12801" width="16.109375" style="129" customWidth="1"/>
    <col min="12802" max="12802" width="12.109375" style="129" customWidth="1"/>
    <col min="12803" max="12803" width="7.33203125" style="129" customWidth="1"/>
    <col min="12804" max="12804" width="12.33203125" style="129" bestFit="1" customWidth="1"/>
    <col min="12805" max="12806" width="10.109375" style="129" bestFit="1" customWidth="1"/>
    <col min="12807" max="12807" width="9" style="129" bestFit="1" customWidth="1"/>
    <col min="12808" max="12808" width="8.109375" style="129" bestFit="1" customWidth="1"/>
    <col min="12809" max="12809" width="7.44140625" style="129" customWidth="1"/>
    <col min="12810" max="12810" width="10.44140625" style="129" bestFit="1" customWidth="1"/>
    <col min="12811" max="12813" width="9.33203125" style="129" bestFit="1" customWidth="1"/>
    <col min="12814" max="12814" width="9.44140625" style="129" bestFit="1" customWidth="1"/>
    <col min="12815" max="12816" width="9.33203125" style="129" bestFit="1" customWidth="1"/>
    <col min="12817" max="12817" width="10.44140625" style="129" bestFit="1" customWidth="1"/>
    <col min="12818" max="12819" width="9.33203125" style="129" bestFit="1" customWidth="1"/>
    <col min="12820" max="12820" width="9.44140625" style="129" bestFit="1" customWidth="1"/>
    <col min="12821" max="12821" width="9.33203125" style="129" bestFit="1" customWidth="1"/>
    <col min="12822" max="12822" width="10.44140625" style="129" bestFit="1" customWidth="1"/>
    <col min="12823" max="13052" width="9.109375" style="129"/>
    <col min="13053" max="13053" width="3.109375" style="129" customWidth="1"/>
    <col min="13054" max="13054" width="15.88671875" style="129" customWidth="1"/>
    <col min="13055" max="13055" width="11.44140625" style="129" customWidth="1"/>
    <col min="13056" max="13057" width="16.109375" style="129" customWidth="1"/>
    <col min="13058" max="13058" width="12.109375" style="129" customWidth="1"/>
    <col min="13059" max="13059" width="7.33203125" style="129" customWidth="1"/>
    <col min="13060" max="13060" width="12.33203125" style="129" bestFit="1" customWidth="1"/>
    <col min="13061" max="13062" width="10.109375" style="129" bestFit="1" customWidth="1"/>
    <col min="13063" max="13063" width="9" style="129" bestFit="1" customWidth="1"/>
    <col min="13064" max="13064" width="8.109375" style="129" bestFit="1" customWidth="1"/>
    <col min="13065" max="13065" width="7.44140625" style="129" customWidth="1"/>
    <col min="13066" max="13066" width="10.44140625" style="129" bestFit="1" customWidth="1"/>
    <col min="13067" max="13069" width="9.33203125" style="129" bestFit="1" customWidth="1"/>
    <col min="13070" max="13070" width="9.44140625" style="129" bestFit="1" customWidth="1"/>
    <col min="13071" max="13072" width="9.33203125" style="129" bestFit="1" customWidth="1"/>
    <col min="13073" max="13073" width="10.44140625" style="129" bestFit="1" customWidth="1"/>
    <col min="13074" max="13075" width="9.33203125" style="129" bestFit="1" customWidth="1"/>
    <col min="13076" max="13076" width="9.44140625" style="129" bestFit="1" customWidth="1"/>
    <col min="13077" max="13077" width="9.33203125" style="129" bestFit="1" customWidth="1"/>
    <col min="13078" max="13078" width="10.44140625" style="129" bestFit="1" customWidth="1"/>
    <col min="13079" max="13308" width="9.109375" style="129"/>
    <col min="13309" max="13309" width="3.109375" style="129" customWidth="1"/>
    <col min="13310" max="13310" width="15.88671875" style="129" customWidth="1"/>
    <col min="13311" max="13311" width="11.44140625" style="129" customWidth="1"/>
    <col min="13312" max="13313" width="16.109375" style="129" customWidth="1"/>
    <col min="13314" max="13314" width="12.109375" style="129" customWidth="1"/>
    <col min="13315" max="13315" width="7.33203125" style="129" customWidth="1"/>
    <col min="13316" max="13316" width="12.33203125" style="129" bestFit="1" customWidth="1"/>
    <col min="13317" max="13318" width="10.109375" style="129" bestFit="1" customWidth="1"/>
    <col min="13319" max="13319" width="9" style="129" bestFit="1" customWidth="1"/>
    <col min="13320" max="13320" width="8.109375" style="129" bestFit="1" customWidth="1"/>
    <col min="13321" max="13321" width="7.44140625" style="129" customWidth="1"/>
    <col min="13322" max="13322" width="10.44140625" style="129" bestFit="1" customWidth="1"/>
    <col min="13323" max="13325" width="9.33203125" style="129" bestFit="1" customWidth="1"/>
    <col min="13326" max="13326" width="9.44140625" style="129" bestFit="1" customWidth="1"/>
    <col min="13327" max="13328" width="9.33203125" style="129" bestFit="1" customWidth="1"/>
    <col min="13329" max="13329" width="10.44140625" style="129" bestFit="1" customWidth="1"/>
    <col min="13330" max="13331" width="9.33203125" style="129" bestFit="1" customWidth="1"/>
    <col min="13332" max="13332" width="9.44140625" style="129" bestFit="1" customWidth="1"/>
    <col min="13333" max="13333" width="9.33203125" style="129" bestFit="1" customWidth="1"/>
    <col min="13334" max="13334" width="10.44140625" style="129" bestFit="1" customWidth="1"/>
    <col min="13335" max="13564" width="9.109375" style="129"/>
    <col min="13565" max="13565" width="3.109375" style="129" customWidth="1"/>
    <col min="13566" max="13566" width="15.88671875" style="129" customWidth="1"/>
    <col min="13567" max="13567" width="11.44140625" style="129" customWidth="1"/>
    <col min="13568" max="13569" width="16.109375" style="129" customWidth="1"/>
    <col min="13570" max="13570" width="12.109375" style="129" customWidth="1"/>
    <col min="13571" max="13571" width="7.33203125" style="129" customWidth="1"/>
    <col min="13572" max="13572" width="12.33203125" style="129" bestFit="1" customWidth="1"/>
    <col min="13573" max="13574" width="10.109375" style="129" bestFit="1" customWidth="1"/>
    <col min="13575" max="13575" width="9" style="129" bestFit="1" customWidth="1"/>
    <col min="13576" max="13576" width="8.109375" style="129" bestFit="1" customWidth="1"/>
    <col min="13577" max="13577" width="7.44140625" style="129" customWidth="1"/>
    <col min="13578" max="13578" width="10.44140625" style="129" bestFit="1" customWidth="1"/>
    <col min="13579" max="13581" width="9.33203125" style="129" bestFit="1" customWidth="1"/>
    <col min="13582" max="13582" width="9.44140625" style="129" bestFit="1" customWidth="1"/>
    <col min="13583" max="13584" width="9.33203125" style="129" bestFit="1" customWidth="1"/>
    <col min="13585" max="13585" width="10.44140625" style="129" bestFit="1" customWidth="1"/>
    <col min="13586" max="13587" width="9.33203125" style="129" bestFit="1" customWidth="1"/>
    <col min="13588" max="13588" width="9.44140625" style="129" bestFit="1" customWidth="1"/>
    <col min="13589" max="13589" width="9.33203125" style="129" bestFit="1" customWidth="1"/>
    <col min="13590" max="13590" width="10.44140625" style="129" bestFit="1" customWidth="1"/>
    <col min="13591" max="13820" width="9.109375" style="129"/>
    <col min="13821" max="13821" width="3.109375" style="129" customWidth="1"/>
    <col min="13822" max="13822" width="15.88671875" style="129" customWidth="1"/>
    <col min="13823" max="13823" width="11.44140625" style="129" customWidth="1"/>
    <col min="13824" max="13825" width="16.109375" style="129" customWidth="1"/>
    <col min="13826" max="13826" width="12.109375" style="129" customWidth="1"/>
    <col min="13827" max="13827" width="7.33203125" style="129" customWidth="1"/>
    <col min="13828" max="13828" width="12.33203125" style="129" bestFit="1" customWidth="1"/>
    <col min="13829" max="13830" width="10.109375" style="129" bestFit="1" customWidth="1"/>
    <col min="13831" max="13831" width="9" style="129" bestFit="1" customWidth="1"/>
    <col min="13832" max="13832" width="8.109375" style="129" bestFit="1" customWidth="1"/>
    <col min="13833" max="13833" width="7.44140625" style="129" customWidth="1"/>
    <col min="13834" max="13834" width="10.44140625" style="129" bestFit="1" customWidth="1"/>
    <col min="13835" max="13837" width="9.33203125" style="129" bestFit="1" customWidth="1"/>
    <col min="13838" max="13838" width="9.44140625" style="129" bestFit="1" customWidth="1"/>
    <col min="13839" max="13840" width="9.33203125" style="129" bestFit="1" customWidth="1"/>
    <col min="13841" max="13841" width="10.44140625" style="129" bestFit="1" customWidth="1"/>
    <col min="13842" max="13843" width="9.33203125" style="129" bestFit="1" customWidth="1"/>
    <col min="13844" max="13844" width="9.44140625" style="129" bestFit="1" customWidth="1"/>
    <col min="13845" max="13845" width="9.33203125" style="129" bestFit="1" customWidth="1"/>
    <col min="13846" max="13846" width="10.44140625" style="129" bestFit="1" customWidth="1"/>
    <col min="13847" max="14076" width="9.109375" style="129"/>
    <col min="14077" max="14077" width="3.109375" style="129" customWidth="1"/>
    <col min="14078" max="14078" width="15.88671875" style="129" customWidth="1"/>
    <col min="14079" max="14079" width="11.44140625" style="129" customWidth="1"/>
    <col min="14080" max="14081" width="16.109375" style="129" customWidth="1"/>
    <col min="14082" max="14082" width="12.109375" style="129" customWidth="1"/>
    <col min="14083" max="14083" width="7.33203125" style="129" customWidth="1"/>
    <col min="14084" max="14084" width="12.33203125" style="129" bestFit="1" customWidth="1"/>
    <col min="14085" max="14086" width="10.109375" style="129" bestFit="1" customWidth="1"/>
    <col min="14087" max="14087" width="9" style="129" bestFit="1" customWidth="1"/>
    <col min="14088" max="14088" width="8.109375" style="129" bestFit="1" customWidth="1"/>
    <col min="14089" max="14089" width="7.44140625" style="129" customWidth="1"/>
    <col min="14090" max="14090" width="10.44140625" style="129" bestFit="1" customWidth="1"/>
    <col min="14091" max="14093" width="9.33203125" style="129" bestFit="1" customWidth="1"/>
    <col min="14094" max="14094" width="9.44140625" style="129" bestFit="1" customWidth="1"/>
    <col min="14095" max="14096" width="9.33203125" style="129" bestFit="1" customWidth="1"/>
    <col min="14097" max="14097" width="10.44140625" style="129" bestFit="1" customWidth="1"/>
    <col min="14098" max="14099" width="9.33203125" style="129" bestFit="1" customWidth="1"/>
    <col min="14100" max="14100" width="9.44140625" style="129" bestFit="1" customWidth="1"/>
    <col min="14101" max="14101" width="9.33203125" style="129" bestFit="1" customWidth="1"/>
    <col min="14102" max="14102" width="10.44140625" style="129" bestFit="1" customWidth="1"/>
    <col min="14103" max="14332" width="9.109375" style="129"/>
    <col min="14333" max="14333" width="3.109375" style="129" customWidth="1"/>
    <col min="14334" max="14334" width="15.88671875" style="129" customWidth="1"/>
    <col min="14335" max="14335" width="11.44140625" style="129" customWidth="1"/>
    <col min="14336" max="14337" width="16.109375" style="129" customWidth="1"/>
    <col min="14338" max="14338" width="12.109375" style="129" customWidth="1"/>
    <col min="14339" max="14339" width="7.33203125" style="129" customWidth="1"/>
    <col min="14340" max="14340" width="12.33203125" style="129" bestFit="1" customWidth="1"/>
    <col min="14341" max="14342" width="10.109375" style="129" bestFit="1" customWidth="1"/>
    <col min="14343" max="14343" width="9" style="129" bestFit="1" customWidth="1"/>
    <col min="14344" max="14344" width="8.109375" style="129" bestFit="1" customWidth="1"/>
    <col min="14345" max="14345" width="7.44140625" style="129" customWidth="1"/>
    <col min="14346" max="14346" width="10.44140625" style="129" bestFit="1" customWidth="1"/>
    <col min="14347" max="14349" width="9.33203125" style="129" bestFit="1" customWidth="1"/>
    <col min="14350" max="14350" width="9.44140625" style="129" bestFit="1" customWidth="1"/>
    <col min="14351" max="14352" width="9.33203125" style="129" bestFit="1" customWidth="1"/>
    <col min="14353" max="14353" width="10.44140625" style="129" bestFit="1" customWidth="1"/>
    <col min="14354" max="14355" width="9.33203125" style="129" bestFit="1" customWidth="1"/>
    <col min="14356" max="14356" width="9.44140625" style="129" bestFit="1" customWidth="1"/>
    <col min="14357" max="14357" width="9.33203125" style="129" bestFit="1" customWidth="1"/>
    <col min="14358" max="14358" width="10.44140625" style="129" bestFit="1" customWidth="1"/>
    <col min="14359" max="14588" width="9.109375" style="129"/>
    <col min="14589" max="14589" width="3.109375" style="129" customWidth="1"/>
    <col min="14590" max="14590" width="15.88671875" style="129" customWidth="1"/>
    <col min="14591" max="14591" width="11.44140625" style="129" customWidth="1"/>
    <col min="14592" max="14593" width="16.109375" style="129" customWidth="1"/>
    <col min="14594" max="14594" width="12.109375" style="129" customWidth="1"/>
    <col min="14595" max="14595" width="7.33203125" style="129" customWidth="1"/>
    <col min="14596" max="14596" width="12.33203125" style="129" bestFit="1" customWidth="1"/>
    <col min="14597" max="14598" width="10.109375" style="129" bestFit="1" customWidth="1"/>
    <col min="14599" max="14599" width="9" style="129" bestFit="1" customWidth="1"/>
    <col min="14600" max="14600" width="8.109375" style="129" bestFit="1" customWidth="1"/>
    <col min="14601" max="14601" width="7.44140625" style="129" customWidth="1"/>
    <col min="14602" max="14602" width="10.44140625" style="129" bestFit="1" customWidth="1"/>
    <col min="14603" max="14605" width="9.33203125" style="129" bestFit="1" customWidth="1"/>
    <col min="14606" max="14606" width="9.44140625" style="129" bestFit="1" customWidth="1"/>
    <col min="14607" max="14608" width="9.33203125" style="129" bestFit="1" customWidth="1"/>
    <col min="14609" max="14609" width="10.44140625" style="129" bestFit="1" customWidth="1"/>
    <col min="14610" max="14611" width="9.33203125" style="129" bestFit="1" customWidth="1"/>
    <col min="14612" max="14612" width="9.44140625" style="129" bestFit="1" customWidth="1"/>
    <col min="14613" max="14613" width="9.33203125" style="129" bestFit="1" customWidth="1"/>
    <col min="14614" max="14614" width="10.44140625" style="129" bestFit="1" customWidth="1"/>
    <col min="14615" max="14844" width="9.109375" style="129"/>
    <col min="14845" max="14845" width="3.109375" style="129" customWidth="1"/>
    <col min="14846" max="14846" width="15.88671875" style="129" customWidth="1"/>
    <col min="14847" max="14847" width="11.44140625" style="129" customWidth="1"/>
    <col min="14848" max="14849" width="16.109375" style="129" customWidth="1"/>
    <col min="14850" max="14850" width="12.109375" style="129" customWidth="1"/>
    <col min="14851" max="14851" width="7.33203125" style="129" customWidth="1"/>
    <col min="14852" max="14852" width="12.33203125" style="129" bestFit="1" customWidth="1"/>
    <col min="14853" max="14854" width="10.109375" style="129" bestFit="1" customWidth="1"/>
    <col min="14855" max="14855" width="9" style="129" bestFit="1" customWidth="1"/>
    <col min="14856" max="14856" width="8.109375" style="129" bestFit="1" customWidth="1"/>
    <col min="14857" max="14857" width="7.44140625" style="129" customWidth="1"/>
    <col min="14858" max="14858" width="10.44140625" style="129" bestFit="1" customWidth="1"/>
    <col min="14859" max="14861" width="9.33203125" style="129" bestFit="1" customWidth="1"/>
    <col min="14862" max="14862" width="9.44140625" style="129" bestFit="1" customWidth="1"/>
    <col min="14863" max="14864" width="9.33203125" style="129" bestFit="1" customWidth="1"/>
    <col min="14865" max="14865" width="10.44140625" style="129" bestFit="1" customWidth="1"/>
    <col min="14866" max="14867" width="9.33203125" style="129" bestFit="1" customWidth="1"/>
    <col min="14868" max="14868" width="9.44140625" style="129" bestFit="1" customWidth="1"/>
    <col min="14869" max="14869" width="9.33203125" style="129" bestFit="1" customWidth="1"/>
    <col min="14870" max="14870" width="10.44140625" style="129" bestFit="1" customWidth="1"/>
    <col min="14871" max="15100" width="9.109375" style="129"/>
    <col min="15101" max="15101" width="3.109375" style="129" customWidth="1"/>
    <col min="15102" max="15102" width="15.88671875" style="129" customWidth="1"/>
    <col min="15103" max="15103" width="11.44140625" style="129" customWidth="1"/>
    <col min="15104" max="15105" width="16.109375" style="129" customWidth="1"/>
    <col min="15106" max="15106" width="12.109375" style="129" customWidth="1"/>
    <col min="15107" max="15107" width="7.33203125" style="129" customWidth="1"/>
    <col min="15108" max="15108" width="12.33203125" style="129" bestFit="1" customWidth="1"/>
    <col min="15109" max="15110" width="10.109375" style="129" bestFit="1" customWidth="1"/>
    <col min="15111" max="15111" width="9" style="129" bestFit="1" customWidth="1"/>
    <col min="15112" max="15112" width="8.109375" style="129" bestFit="1" customWidth="1"/>
    <col min="15113" max="15113" width="7.44140625" style="129" customWidth="1"/>
    <col min="15114" max="15114" width="10.44140625" style="129" bestFit="1" customWidth="1"/>
    <col min="15115" max="15117" width="9.33203125" style="129" bestFit="1" customWidth="1"/>
    <col min="15118" max="15118" width="9.44140625" style="129" bestFit="1" customWidth="1"/>
    <col min="15119" max="15120" width="9.33203125" style="129" bestFit="1" customWidth="1"/>
    <col min="15121" max="15121" width="10.44140625" style="129" bestFit="1" customWidth="1"/>
    <col min="15122" max="15123" width="9.33203125" style="129" bestFit="1" customWidth="1"/>
    <col min="15124" max="15124" width="9.44140625" style="129" bestFit="1" customWidth="1"/>
    <col min="15125" max="15125" width="9.33203125" style="129" bestFit="1" customWidth="1"/>
    <col min="15126" max="15126" width="10.44140625" style="129" bestFit="1" customWidth="1"/>
    <col min="15127" max="15356" width="9.109375" style="129"/>
    <col min="15357" max="15357" width="3.109375" style="129" customWidth="1"/>
    <col min="15358" max="15358" width="15.88671875" style="129" customWidth="1"/>
    <col min="15359" max="15359" width="11.44140625" style="129" customWidth="1"/>
    <col min="15360" max="15361" width="16.109375" style="129" customWidth="1"/>
    <col min="15362" max="15362" width="12.109375" style="129" customWidth="1"/>
    <col min="15363" max="15363" width="7.33203125" style="129" customWidth="1"/>
    <col min="15364" max="15364" width="12.33203125" style="129" bestFit="1" customWidth="1"/>
    <col min="15365" max="15366" width="10.109375" style="129" bestFit="1" customWidth="1"/>
    <col min="15367" max="15367" width="9" style="129" bestFit="1" customWidth="1"/>
    <col min="15368" max="15368" width="8.109375" style="129" bestFit="1" customWidth="1"/>
    <col min="15369" max="15369" width="7.44140625" style="129" customWidth="1"/>
    <col min="15370" max="15370" width="10.44140625" style="129" bestFit="1" customWidth="1"/>
    <col min="15371" max="15373" width="9.33203125" style="129" bestFit="1" customWidth="1"/>
    <col min="15374" max="15374" width="9.44140625" style="129" bestFit="1" customWidth="1"/>
    <col min="15375" max="15376" width="9.33203125" style="129" bestFit="1" customWidth="1"/>
    <col min="15377" max="15377" width="10.44140625" style="129" bestFit="1" customWidth="1"/>
    <col min="15378" max="15379" width="9.33203125" style="129" bestFit="1" customWidth="1"/>
    <col min="15380" max="15380" width="9.44140625" style="129" bestFit="1" customWidth="1"/>
    <col min="15381" max="15381" width="9.33203125" style="129" bestFit="1" customWidth="1"/>
    <col min="15382" max="15382" width="10.44140625" style="129" bestFit="1" customWidth="1"/>
    <col min="15383" max="15612" width="9.109375" style="129"/>
    <col min="15613" max="15613" width="3.109375" style="129" customWidth="1"/>
    <col min="15614" max="15614" width="15.88671875" style="129" customWidth="1"/>
    <col min="15615" max="15615" width="11.44140625" style="129" customWidth="1"/>
    <col min="15616" max="15617" width="16.109375" style="129" customWidth="1"/>
    <col min="15618" max="15618" width="12.109375" style="129" customWidth="1"/>
    <col min="15619" max="15619" width="7.33203125" style="129" customWidth="1"/>
    <col min="15620" max="15620" width="12.33203125" style="129" bestFit="1" customWidth="1"/>
    <col min="15621" max="15622" width="10.109375" style="129" bestFit="1" customWidth="1"/>
    <col min="15623" max="15623" width="9" style="129" bestFit="1" customWidth="1"/>
    <col min="15624" max="15624" width="8.109375" style="129" bestFit="1" customWidth="1"/>
    <col min="15625" max="15625" width="7.44140625" style="129" customWidth="1"/>
    <col min="15626" max="15626" width="10.44140625" style="129" bestFit="1" customWidth="1"/>
    <col min="15627" max="15629" width="9.33203125" style="129" bestFit="1" customWidth="1"/>
    <col min="15630" max="15630" width="9.44140625" style="129" bestFit="1" customWidth="1"/>
    <col min="15631" max="15632" width="9.33203125" style="129" bestFit="1" customWidth="1"/>
    <col min="15633" max="15633" width="10.44140625" style="129" bestFit="1" customWidth="1"/>
    <col min="15634" max="15635" width="9.33203125" style="129" bestFit="1" customWidth="1"/>
    <col min="15636" max="15636" width="9.44140625" style="129" bestFit="1" customWidth="1"/>
    <col min="15637" max="15637" width="9.33203125" style="129" bestFit="1" customWidth="1"/>
    <col min="15638" max="15638" width="10.44140625" style="129" bestFit="1" customWidth="1"/>
    <col min="15639" max="15868" width="9.109375" style="129"/>
    <col min="15869" max="15869" width="3.109375" style="129" customWidth="1"/>
    <col min="15870" max="15870" width="15.88671875" style="129" customWidth="1"/>
    <col min="15871" max="15871" width="11.44140625" style="129" customWidth="1"/>
    <col min="15872" max="15873" width="16.109375" style="129" customWidth="1"/>
    <col min="15874" max="15874" width="12.109375" style="129" customWidth="1"/>
    <col min="15875" max="15875" width="7.33203125" style="129" customWidth="1"/>
    <col min="15876" max="15876" width="12.33203125" style="129" bestFit="1" customWidth="1"/>
    <col min="15877" max="15878" width="10.109375" style="129" bestFit="1" customWidth="1"/>
    <col min="15879" max="15879" width="9" style="129" bestFit="1" customWidth="1"/>
    <col min="15880" max="15880" width="8.109375" style="129" bestFit="1" customWidth="1"/>
    <col min="15881" max="15881" width="7.44140625" style="129" customWidth="1"/>
    <col min="15882" max="15882" width="10.44140625" style="129" bestFit="1" customWidth="1"/>
    <col min="15883" max="15885" width="9.33203125" style="129" bestFit="1" customWidth="1"/>
    <col min="15886" max="15886" width="9.44140625" style="129" bestFit="1" customWidth="1"/>
    <col min="15887" max="15888" width="9.33203125" style="129" bestFit="1" customWidth="1"/>
    <col min="15889" max="15889" width="10.44140625" style="129" bestFit="1" customWidth="1"/>
    <col min="15890" max="15891" width="9.33203125" style="129" bestFit="1" customWidth="1"/>
    <col min="15892" max="15892" width="9.44140625" style="129" bestFit="1" customWidth="1"/>
    <col min="15893" max="15893" width="9.33203125" style="129" bestFit="1" customWidth="1"/>
    <col min="15894" max="15894" width="10.44140625" style="129" bestFit="1" customWidth="1"/>
    <col min="15895" max="16124" width="9.109375" style="129"/>
    <col min="16125" max="16125" width="3.109375" style="129" customWidth="1"/>
    <col min="16126" max="16126" width="15.88671875" style="129" customWidth="1"/>
    <col min="16127" max="16127" width="11.44140625" style="129" customWidth="1"/>
    <col min="16128" max="16129" width="16.109375" style="129" customWidth="1"/>
    <col min="16130" max="16130" width="12.109375" style="129" customWidth="1"/>
    <col min="16131" max="16131" width="7.33203125" style="129" customWidth="1"/>
    <col min="16132" max="16132" width="12.33203125" style="129" bestFit="1" customWidth="1"/>
    <col min="16133" max="16134" width="10.109375" style="129" bestFit="1" customWidth="1"/>
    <col min="16135" max="16135" width="9" style="129" bestFit="1" customWidth="1"/>
    <col min="16136" max="16136" width="8.109375" style="129" bestFit="1" customWidth="1"/>
    <col min="16137" max="16137" width="7.44140625" style="129" customWidth="1"/>
    <col min="16138" max="16138" width="10.44140625" style="129" bestFit="1" customWidth="1"/>
    <col min="16139" max="16141" width="9.33203125" style="129" bestFit="1" customWidth="1"/>
    <col min="16142" max="16142" width="9.44140625" style="129" bestFit="1" customWidth="1"/>
    <col min="16143" max="16144" width="9.33203125" style="129" bestFit="1" customWidth="1"/>
    <col min="16145" max="16145" width="10.44140625" style="129" bestFit="1" customWidth="1"/>
    <col min="16146" max="16147" width="9.33203125" style="129" bestFit="1" customWidth="1"/>
    <col min="16148" max="16148" width="9.44140625" style="129" bestFit="1" customWidth="1"/>
    <col min="16149" max="16149" width="9.33203125" style="129" bestFit="1" customWidth="1"/>
    <col min="16150" max="16150" width="10.44140625" style="129" bestFit="1" customWidth="1"/>
    <col min="16151" max="16384" width="9.109375" style="129"/>
  </cols>
  <sheetData>
    <row r="1" spans="1:49">
      <c r="A1" s="128"/>
      <c r="B1" s="54" t="s">
        <v>32</v>
      </c>
      <c r="C1" s="167"/>
    </row>
    <row r="2" spans="1:49">
      <c r="G2" s="130">
        <f>G5*0.87</f>
        <v>0</v>
      </c>
    </row>
    <row r="3" spans="1:49" s="133" customFormat="1" ht="15" customHeight="1">
      <c r="B3" s="134" t="s">
        <v>119</v>
      </c>
      <c r="C3" s="135"/>
      <c r="D3" s="136" t="s">
        <v>14</v>
      </c>
      <c r="E3" s="136" t="s">
        <v>15</v>
      </c>
      <c r="F3" s="136" t="s">
        <v>16</v>
      </c>
      <c r="G3" s="137"/>
      <c r="H3" s="136" t="s">
        <v>15</v>
      </c>
      <c r="I3" s="136" t="s">
        <v>16</v>
      </c>
      <c r="J3" s="136" t="s">
        <v>14</v>
      </c>
      <c r="K3" s="136" t="s">
        <v>15</v>
      </c>
      <c r="L3" s="136" t="s">
        <v>16</v>
      </c>
      <c r="M3" s="136" t="s">
        <v>14</v>
      </c>
      <c r="N3" s="136" t="s">
        <v>14</v>
      </c>
      <c r="O3" s="136" t="s">
        <v>14</v>
      </c>
      <c r="P3" s="136" t="s">
        <v>14</v>
      </c>
      <c r="Q3" s="136" t="s">
        <v>14</v>
      </c>
      <c r="R3" s="136" t="s">
        <v>14</v>
      </c>
      <c r="S3" s="136" t="s">
        <v>14</v>
      </c>
      <c r="T3" s="136" t="s">
        <v>14</v>
      </c>
      <c r="U3" s="136" t="s">
        <v>14</v>
      </c>
      <c r="V3" s="136" t="s">
        <v>14</v>
      </c>
      <c r="W3" s="136" t="s">
        <v>14</v>
      </c>
      <c r="X3" s="136" t="s">
        <v>14</v>
      </c>
      <c r="Y3" s="136" t="s">
        <v>15</v>
      </c>
      <c r="Z3" s="136" t="s">
        <v>15</v>
      </c>
      <c r="AA3" s="136" t="s">
        <v>15</v>
      </c>
      <c r="AB3" s="136" t="s">
        <v>15</v>
      </c>
      <c r="AC3" s="136" t="s">
        <v>15</v>
      </c>
      <c r="AD3" s="136" t="s">
        <v>15</v>
      </c>
      <c r="AE3" s="136" t="s">
        <v>15</v>
      </c>
      <c r="AF3" s="136" t="s">
        <v>15</v>
      </c>
      <c r="AG3" s="136" t="s">
        <v>15</v>
      </c>
      <c r="AH3" s="136" t="s">
        <v>15</v>
      </c>
      <c r="AI3" s="136" t="s">
        <v>15</v>
      </c>
      <c r="AJ3" s="136" t="s">
        <v>15</v>
      </c>
      <c r="AK3" s="136" t="s">
        <v>16</v>
      </c>
      <c r="AL3" s="136" t="s">
        <v>16</v>
      </c>
      <c r="AM3" s="136" t="s">
        <v>16</v>
      </c>
      <c r="AN3" s="136" t="s">
        <v>16</v>
      </c>
      <c r="AO3" s="136" t="s">
        <v>16</v>
      </c>
      <c r="AP3" s="136" t="s">
        <v>16</v>
      </c>
      <c r="AQ3" s="136" t="s">
        <v>16</v>
      </c>
      <c r="AR3" s="136" t="s">
        <v>16</v>
      </c>
      <c r="AS3" s="136" t="s">
        <v>16</v>
      </c>
      <c r="AT3" s="136" t="s">
        <v>16</v>
      </c>
      <c r="AU3" s="136" t="s">
        <v>16</v>
      </c>
      <c r="AV3" s="136" t="s">
        <v>16</v>
      </c>
      <c r="AW3" s="138"/>
    </row>
    <row r="4" spans="1:49" s="139" customFormat="1" ht="27.6">
      <c r="B4" s="171" t="s">
        <v>117</v>
      </c>
      <c r="C4" s="171" t="s">
        <v>149</v>
      </c>
      <c r="D4" s="171" t="s">
        <v>147</v>
      </c>
      <c r="E4" s="171" t="s">
        <v>147</v>
      </c>
      <c r="F4" s="171" t="s">
        <v>147</v>
      </c>
      <c r="G4" s="172" t="s">
        <v>242</v>
      </c>
      <c r="H4" s="173" t="s">
        <v>121</v>
      </c>
      <c r="I4" s="173" t="s">
        <v>121</v>
      </c>
      <c r="J4" s="174" t="s">
        <v>0</v>
      </c>
      <c r="K4" s="174" t="s">
        <v>0</v>
      </c>
      <c r="L4" s="174" t="s">
        <v>0</v>
      </c>
      <c r="M4" s="175">
        <v>1</v>
      </c>
      <c r="N4" s="175">
        <v>2</v>
      </c>
      <c r="O4" s="175">
        <v>3</v>
      </c>
      <c r="P4" s="175">
        <v>4</v>
      </c>
      <c r="Q4" s="175">
        <v>5</v>
      </c>
      <c r="R4" s="175">
        <v>6</v>
      </c>
      <c r="S4" s="175">
        <v>7</v>
      </c>
      <c r="T4" s="175">
        <v>8</v>
      </c>
      <c r="U4" s="175">
        <v>9</v>
      </c>
      <c r="V4" s="175">
        <v>10</v>
      </c>
      <c r="W4" s="175">
        <v>11</v>
      </c>
      <c r="X4" s="175">
        <v>12</v>
      </c>
      <c r="Y4" s="175">
        <v>13</v>
      </c>
      <c r="Z4" s="175">
        <v>14</v>
      </c>
      <c r="AA4" s="175">
        <v>15</v>
      </c>
      <c r="AB4" s="175">
        <v>16</v>
      </c>
      <c r="AC4" s="175">
        <v>17</v>
      </c>
      <c r="AD4" s="175">
        <v>18</v>
      </c>
      <c r="AE4" s="175">
        <v>19</v>
      </c>
      <c r="AF4" s="175">
        <v>20</v>
      </c>
      <c r="AG4" s="175">
        <v>21</v>
      </c>
      <c r="AH4" s="175">
        <v>22</v>
      </c>
      <c r="AI4" s="175">
        <v>23</v>
      </c>
      <c r="AJ4" s="175">
        <v>24</v>
      </c>
      <c r="AK4" s="175">
        <v>25</v>
      </c>
      <c r="AL4" s="175">
        <v>26</v>
      </c>
      <c r="AM4" s="175">
        <v>27</v>
      </c>
      <c r="AN4" s="175">
        <v>28</v>
      </c>
      <c r="AO4" s="175">
        <v>29</v>
      </c>
      <c r="AP4" s="175">
        <v>30</v>
      </c>
      <c r="AQ4" s="175">
        <v>31</v>
      </c>
      <c r="AR4" s="175">
        <v>32</v>
      </c>
      <c r="AS4" s="175">
        <v>33</v>
      </c>
      <c r="AT4" s="175">
        <v>34</v>
      </c>
      <c r="AU4" s="175">
        <v>35</v>
      </c>
      <c r="AV4" s="175">
        <v>36</v>
      </c>
    </row>
    <row r="5" spans="1:49" s="355" customFormat="1" ht="21" customHeight="1">
      <c r="B5" s="356" t="s">
        <v>267</v>
      </c>
      <c r="C5" s="357" t="s">
        <v>140</v>
      </c>
      <c r="D5" s="358"/>
      <c r="E5" s="358"/>
      <c r="F5" s="358"/>
      <c r="G5" s="358"/>
      <c r="H5" s="359">
        <v>0.05</v>
      </c>
      <c r="I5" s="359">
        <v>0.05</v>
      </c>
      <c r="J5" s="360">
        <f>SUMIF($M$3:$AV$3,$J$3,$M5:$AV5)</f>
        <v>0</v>
      </c>
      <c r="K5" s="360">
        <f>SUMIF($M$3:$AV$3,$K$3,$M5:$AV5)</f>
        <v>0</v>
      </c>
      <c r="L5" s="360">
        <f>SUMIF($M$3:$AV$3,$L$3,$M5:$AV5)</f>
        <v>0</v>
      </c>
      <c r="M5" s="361">
        <f>G5*D5</f>
        <v>0</v>
      </c>
      <c r="N5" s="361">
        <f>M5</f>
        <v>0</v>
      </c>
      <c r="O5" s="361">
        <f t="shared" ref="O5:X11" si="0">N5</f>
        <v>0</v>
      </c>
      <c r="P5" s="361">
        <f t="shared" si="0"/>
        <v>0</v>
      </c>
      <c r="Q5" s="361">
        <f t="shared" si="0"/>
        <v>0</v>
      </c>
      <c r="R5" s="361">
        <f t="shared" si="0"/>
        <v>0</v>
      </c>
      <c r="S5" s="361">
        <f t="shared" si="0"/>
        <v>0</v>
      </c>
      <c r="T5" s="361">
        <f t="shared" si="0"/>
        <v>0</v>
      </c>
      <c r="U5" s="361">
        <f t="shared" si="0"/>
        <v>0</v>
      </c>
      <c r="V5" s="361">
        <f t="shared" si="0"/>
        <v>0</v>
      </c>
      <c r="W5" s="361">
        <f t="shared" si="0"/>
        <v>0</v>
      </c>
      <c r="X5" s="361">
        <f>W5</f>
        <v>0</v>
      </c>
      <c r="Y5" s="361">
        <f>G5*(1+H5)*E5</f>
        <v>0</v>
      </c>
      <c r="Z5" s="361">
        <f>Y5</f>
        <v>0</v>
      </c>
      <c r="AA5" s="361">
        <f t="shared" ref="AA5:AJ11" si="1">Z5</f>
        <v>0</v>
      </c>
      <c r="AB5" s="361">
        <f t="shared" si="1"/>
        <v>0</v>
      </c>
      <c r="AC5" s="361">
        <f t="shared" si="1"/>
        <v>0</v>
      </c>
      <c r="AD5" s="361">
        <f t="shared" si="1"/>
        <v>0</v>
      </c>
      <c r="AE5" s="361">
        <f t="shared" si="1"/>
        <v>0</v>
      </c>
      <c r="AF5" s="361">
        <f t="shared" si="1"/>
        <v>0</v>
      </c>
      <c r="AG5" s="361">
        <f t="shared" si="1"/>
        <v>0</v>
      </c>
      <c r="AH5" s="361">
        <f t="shared" si="1"/>
        <v>0</v>
      </c>
      <c r="AI5" s="361">
        <f t="shared" si="1"/>
        <v>0</v>
      </c>
      <c r="AJ5" s="361">
        <f t="shared" si="1"/>
        <v>0</v>
      </c>
      <c r="AK5" s="361">
        <f>G5*(1+H5)*(1+I5)*F5</f>
        <v>0</v>
      </c>
      <c r="AL5" s="361">
        <f>AK5</f>
        <v>0</v>
      </c>
      <c r="AM5" s="361">
        <f t="shared" ref="AM5:AV11" si="2">AL5</f>
        <v>0</v>
      </c>
      <c r="AN5" s="361">
        <f t="shared" si="2"/>
        <v>0</v>
      </c>
      <c r="AO5" s="361">
        <f t="shared" si="2"/>
        <v>0</v>
      </c>
      <c r="AP5" s="361">
        <f t="shared" si="2"/>
        <v>0</v>
      </c>
      <c r="AQ5" s="361">
        <f t="shared" si="2"/>
        <v>0</v>
      </c>
      <c r="AR5" s="361">
        <f t="shared" si="2"/>
        <v>0</v>
      </c>
      <c r="AS5" s="361">
        <f t="shared" si="2"/>
        <v>0</v>
      </c>
      <c r="AT5" s="361">
        <f t="shared" si="2"/>
        <v>0</v>
      </c>
      <c r="AU5" s="361">
        <f t="shared" si="2"/>
        <v>0</v>
      </c>
      <c r="AV5" s="361">
        <f t="shared" si="2"/>
        <v>0</v>
      </c>
    </row>
    <row r="6" spans="1:49" s="355" customFormat="1" ht="21" customHeight="1">
      <c r="B6" s="362" t="s">
        <v>298</v>
      </c>
      <c r="C6" s="357" t="s">
        <v>139</v>
      </c>
      <c r="D6" s="358"/>
      <c r="E6" s="358"/>
      <c r="F6" s="358"/>
      <c r="G6" s="358"/>
      <c r="H6" s="359">
        <v>0.05</v>
      </c>
      <c r="I6" s="359">
        <v>0.05</v>
      </c>
      <c r="J6" s="360">
        <f t="shared" ref="J6:J11" si="3">SUMIF($M$3:$AV$3,$J$3,$M6:$AV6)</f>
        <v>0</v>
      </c>
      <c r="K6" s="360">
        <f t="shared" ref="K6:K11" si="4">SUMIF($M$3:$AV$3,$K$3,$M6:$AV6)</f>
        <v>0</v>
      </c>
      <c r="L6" s="360">
        <f t="shared" ref="L6:L11" si="5">SUMIF($M$3:$AV$3,$L$3,$M6:$AV6)</f>
        <v>0</v>
      </c>
      <c r="M6" s="361">
        <f t="shared" ref="M6:M11" si="6">G6*D6</f>
        <v>0</v>
      </c>
      <c r="N6" s="361">
        <f t="shared" ref="N6:N11" si="7">M6</f>
        <v>0</v>
      </c>
      <c r="O6" s="361">
        <f t="shared" si="0"/>
        <v>0</v>
      </c>
      <c r="P6" s="361">
        <f t="shared" si="0"/>
        <v>0</v>
      </c>
      <c r="Q6" s="361">
        <f t="shared" si="0"/>
        <v>0</v>
      </c>
      <c r="R6" s="361">
        <f t="shared" si="0"/>
        <v>0</v>
      </c>
      <c r="S6" s="361">
        <f t="shared" si="0"/>
        <v>0</v>
      </c>
      <c r="T6" s="361">
        <f t="shared" si="0"/>
        <v>0</v>
      </c>
      <c r="U6" s="361">
        <f t="shared" si="0"/>
        <v>0</v>
      </c>
      <c r="V6" s="361">
        <f t="shared" si="0"/>
        <v>0</v>
      </c>
      <c r="W6" s="361">
        <f t="shared" si="0"/>
        <v>0</v>
      </c>
      <c r="X6" s="361">
        <f t="shared" si="0"/>
        <v>0</v>
      </c>
      <c r="Y6" s="361">
        <f t="shared" ref="Y6:Y11" si="8">G6*(1+H6)*E6</f>
        <v>0</v>
      </c>
      <c r="Z6" s="361">
        <f t="shared" ref="Z6:Z11" si="9">Y6</f>
        <v>0</v>
      </c>
      <c r="AA6" s="361">
        <f t="shared" si="1"/>
        <v>0</v>
      </c>
      <c r="AB6" s="361">
        <f t="shared" si="1"/>
        <v>0</v>
      </c>
      <c r="AC6" s="361">
        <f t="shared" si="1"/>
        <v>0</v>
      </c>
      <c r="AD6" s="361">
        <f t="shared" si="1"/>
        <v>0</v>
      </c>
      <c r="AE6" s="361">
        <f t="shared" si="1"/>
        <v>0</v>
      </c>
      <c r="AF6" s="361">
        <f t="shared" si="1"/>
        <v>0</v>
      </c>
      <c r="AG6" s="361">
        <f t="shared" si="1"/>
        <v>0</v>
      </c>
      <c r="AH6" s="361">
        <f t="shared" si="1"/>
        <v>0</v>
      </c>
      <c r="AI6" s="361">
        <f t="shared" si="1"/>
        <v>0</v>
      </c>
      <c r="AJ6" s="361">
        <f t="shared" si="1"/>
        <v>0</v>
      </c>
      <c r="AK6" s="361">
        <f t="shared" ref="AK6:AK11" si="10">G6*(1+H6)*(1+I6)*F6</f>
        <v>0</v>
      </c>
      <c r="AL6" s="361">
        <f t="shared" ref="AL6:AL11" si="11">AK6</f>
        <v>0</v>
      </c>
      <c r="AM6" s="361">
        <f t="shared" si="2"/>
        <v>0</v>
      </c>
      <c r="AN6" s="361">
        <f t="shared" si="2"/>
        <v>0</v>
      </c>
      <c r="AO6" s="361">
        <f t="shared" si="2"/>
        <v>0</v>
      </c>
      <c r="AP6" s="361">
        <f t="shared" si="2"/>
        <v>0</v>
      </c>
      <c r="AQ6" s="361">
        <f t="shared" si="2"/>
        <v>0</v>
      </c>
      <c r="AR6" s="361">
        <f t="shared" si="2"/>
        <v>0</v>
      </c>
      <c r="AS6" s="361">
        <f t="shared" si="2"/>
        <v>0</v>
      </c>
      <c r="AT6" s="361">
        <f t="shared" si="2"/>
        <v>0</v>
      </c>
      <c r="AU6" s="361">
        <f t="shared" si="2"/>
        <v>0</v>
      </c>
      <c r="AV6" s="361">
        <f t="shared" si="2"/>
        <v>0</v>
      </c>
    </row>
    <row r="7" spans="1:49" s="355" customFormat="1" ht="21" customHeight="1">
      <c r="B7" s="363" t="s">
        <v>299</v>
      </c>
      <c r="C7" s="357" t="s">
        <v>140</v>
      </c>
      <c r="D7" s="358"/>
      <c r="E7" s="358"/>
      <c r="F7" s="358"/>
      <c r="G7" s="358"/>
      <c r="H7" s="359">
        <v>0.05</v>
      </c>
      <c r="I7" s="359">
        <v>0.05</v>
      </c>
      <c r="J7" s="360">
        <f t="shared" si="3"/>
        <v>0</v>
      </c>
      <c r="K7" s="360">
        <f t="shared" si="4"/>
        <v>0</v>
      </c>
      <c r="L7" s="360">
        <f t="shared" si="5"/>
        <v>0</v>
      </c>
      <c r="M7" s="361">
        <f t="shared" si="6"/>
        <v>0</v>
      </c>
      <c r="N7" s="361">
        <f t="shared" si="7"/>
        <v>0</v>
      </c>
      <c r="O7" s="361">
        <f t="shared" si="0"/>
        <v>0</v>
      </c>
      <c r="P7" s="361">
        <f t="shared" si="0"/>
        <v>0</v>
      </c>
      <c r="Q7" s="361">
        <f t="shared" si="0"/>
        <v>0</v>
      </c>
      <c r="R7" s="361">
        <f t="shared" si="0"/>
        <v>0</v>
      </c>
      <c r="S7" s="361">
        <f t="shared" si="0"/>
        <v>0</v>
      </c>
      <c r="T7" s="361">
        <f t="shared" si="0"/>
        <v>0</v>
      </c>
      <c r="U7" s="361">
        <f t="shared" si="0"/>
        <v>0</v>
      </c>
      <c r="V7" s="361">
        <f t="shared" si="0"/>
        <v>0</v>
      </c>
      <c r="W7" s="361">
        <f t="shared" si="0"/>
        <v>0</v>
      </c>
      <c r="X7" s="361">
        <f t="shared" si="0"/>
        <v>0</v>
      </c>
      <c r="Y7" s="361">
        <f t="shared" si="8"/>
        <v>0</v>
      </c>
      <c r="Z7" s="361">
        <f t="shared" si="9"/>
        <v>0</v>
      </c>
      <c r="AA7" s="361">
        <f t="shared" si="1"/>
        <v>0</v>
      </c>
      <c r="AB7" s="361">
        <f t="shared" si="1"/>
        <v>0</v>
      </c>
      <c r="AC7" s="361">
        <f t="shared" si="1"/>
        <v>0</v>
      </c>
      <c r="AD7" s="361">
        <f t="shared" si="1"/>
        <v>0</v>
      </c>
      <c r="AE7" s="361">
        <f t="shared" si="1"/>
        <v>0</v>
      </c>
      <c r="AF7" s="361">
        <f t="shared" si="1"/>
        <v>0</v>
      </c>
      <c r="AG7" s="361">
        <f t="shared" si="1"/>
        <v>0</v>
      </c>
      <c r="AH7" s="361">
        <f t="shared" si="1"/>
        <v>0</v>
      </c>
      <c r="AI7" s="361">
        <f t="shared" si="1"/>
        <v>0</v>
      </c>
      <c r="AJ7" s="361">
        <f t="shared" si="1"/>
        <v>0</v>
      </c>
      <c r="AK7" s="361">
        <f t="shared" si="10"/>
        <v>0</v>
      </c>
      <c r="AL7" s="361">
        <f t="shared" si="11"/>
        <v>0</v>
      </c>
      <c r="AM7" s="361">
        <f t="shared" si="2"/>
        <v>0</v>
      </c>
      <c r="AN7" s="361">
        <f t="shared" si="2"/>
        <v>0</v>
      </c>
      <c r="AO7" s="361">
        <f t="shared" si="2"/>
        <v>0</v>
      </c>
      <c r="AP7" s="361">
        <f t="shared" si="2"/>
        <v>0</v>
      </c>
      <c r="AQ7" s="361">
        <f t="shared" si="2"/>
        <v>0</v>
      </c>
      <c r="AR7" s="361">
        <f t="shared" si="2"/>
        <v>0</v>
      </c>
      <c r="AS7" s="361">
        <f t="shared" si="2"/>
        <v>0</v>
      </c>
      <c r="AT7" s="361">
        <f t="shared" si="2"/>
        <v>0</v>
      </c>
      <c r="AU7" s="361">
        <f t="shared" si="2"/>
        <v>0</v>
      </c>
      <c r="AV7" s="361">
        <f t="shared" si="2"/>
        <v>0</v>
      </c>
    </row>
    <row r="8" spans="1:49" s="355" customFormat="1" ht="21" customHeight="1">
      <c r="B8" s="363" t="s">
        <v>144</v>
      </c>
      <c r="C8" s="357" t="s">
        <v>140</v>
      </c>
      <c r="D8" s="358"/>
      <c r="E8" s="358"/>
      <c r="F8" s="358"/>
      <c r="G8" s="358"/>
      <c r="H8" s="359">
        <v>0</v>
      </c>
      <c r="I8" s="359">
        <v>0.05</v>
      </c>
      <c r="J8" s="360">
        <f t="shared" si="3"/>
        <v>0</v>
      </c>
      <c r="K8" s="360">
        <f t="shared" si="4"/>
        <v>0</v>
      </c>
      <c r="L8" s="360">
        <f t="shared" si="5"/>
        <v>0</v>
      </c>
      <c r="M8" s="361">
        <f t="shared" si="6"/>
        <v>0</v>
      </c>
      <c r="N8" s="361">
        <f t="shared" si="7"/>
        <v>0</v>
      </c>
      <c r="O8" s="361">
        <f t="shared" si="0"/>
        <v>0</v>
      </c>
      <c r="P8" s="361">
        <f t="shared" si="0"/>
        <v>0</v>
      </c>
      <c r="Q8" s="361">
        <f t="shared" si="0"/>
        <v>0</v>
      </c>
      <c r="R8" s="361">
        <f t="shared" si="0"/>
        <v>0</v>
      </c>
      <c r="S8" s="361">
        <f t="shared" si="0"/>
        <v>0</v>
      </c>
      <c r="T8" s="361">
        <f t="shared" si="0"/>
        <v>0</v>
      </c>
      <c r="U8" s="361">
        <f t="shared" si="0"/>
        <v>0</v>
      </c>
      <c r="V8" s="361">
        <f t="shared" si="0"/>
        <v>0</v>
      </c>
      <c r="W8" s="361">
        <f t="shared" si="0"/>
        <v>0</v>
      </c>
      <c r="X8" s="361">
        <f t="shared" si="0"/>
        <v>0</v>
      </c>
      <c r="Y8" s="361">
        <f t="shared" si="8"/>
        <v>0</v>
      </c>
      <c r="Z8" s="361">
        <f t="shared" si="9"/>
        <v>0</v>
      </c>
      <c r="AA8" s="361">
        <f t="shared" si="1"/>
        <v>0</v>
      </c>
      <c r="AB8" s="361">
        <f t="shared" si="1"/>
        <v>0</v>
      </c>
      <c r="AC8" s="361">
        <f t="shared" si="1"/>
        <v>0</v>
      </c>
      <c r="AD8" s="361">
        <f t="shared" si="1"/>
        <v>0</v>
      </c>
      <c r="AE8" s="361">
        <f t="shared" si="1"/>
        <v>0</v>
      </c>
      <c r="AF8" s="361">
        <f t="shared" si="1"/>
        <v>0</v>
      </c>
      <c r="AG8" s="361">
        <f t="shared" si="1"/>
        <v>0</v>
      </c>
      <c r="AH8" s="361">
        <f t="shared" si="1"/>
        <v>0</v>
      </c>
      <c r="AI8" s="361">
        <f t="shared" si="1"/>
        <v>0</v>
      </c>
      <c r="AJ8" s="361">
        <f t="shared" si="1"/>
        <v>0</v>
      </c>
      <c r="AK8" s="361">
        <f t="shared" si="10"/>
        <v>0</v>
      </c>
      <c r="AL8" s="361">
        <f t="shared" si="11"/>
        <v>0</v>
      </c>
      <c r="AM8" s="361">
        <f t="shared" si="2"/>
        <v>0</v>
      </c>
      <c r="AN8" s="361">
        <f t="shared" si="2"/>
        <v>0</v>
      </c>
      <c r="AO8" s="361">
        <f t="shared" si="2"/>
        <v>0</v>
      </c>
      <c r="AP8" s="361">
        <f t="shared" si="2"/>
        <v>0</v>
      </c>
      <c r="AQ8" s="361">
        <f t="shared" si="2"/>
        <v>0</v>
      </c>
      <c r="AR8" s="361">
        <f t="shared" si="2"/>
        <v>0</v>
      </c>
      <c r="AS8" s="361">
        <f t="shared" si="2"/>
        <v>0</v>
      </c>
      <c r="AT8" s="361">
        <f t="shared" si="2"/>
        <v>0</v>
      </c>
      <c r="AU8" s="361">
        <f t="shared" si="2"/>
        <v>0</v>
      </c>
      <c r="AV8" s="361">
        <f t="shared" si="2"/>
        <v>0</v>
      </c>
    </row>
    <row r="9" spans="1:49" s="145" customFormat="1" ht="21" customHeight="1">
      <c r="B9" s="176"/>
      <c r="C9" s="176"/>
      <c r="D9" s="189"/>
      <c r="E9" s="189"/>
      <c r="F9" s="189"/>
      <c r="G9" s="177"/>
      <c r="H9" s="178"/>
      <c r="I9" s="178"/>
      <c r="J9" s="179">
        <f t="shared" si="3"/>
        <v>0</v>
      </c>
      <c r="K9" s="179">
        <f t="shared" si="4"/>
        <v>0</v>
      </c>
      <c r="L9" s="179">
        <f t="shared" si="5"/>
        <v>0</v>
      </c>
      <c r="M9" s="180">
        <f t="shared" si="6"/>
        <v>0</v>
      </c>
      <c r="N9" s="180">
        <f t="shared" si="7"/>
        <v>0</v>
      </c>
      <c r="O9" s="180">
        <f t="shared" si="0"/>
        <v>0</v>
      </c>
      <c r="P9" s="180">
        <f t="shared" si="0"/>
        <v>0</v>
      </c>
      <c r="Q9" s="180">
        <f t="shared" si="0"/>
        <v>0</v>
      </c>
      <c r="R9" s="180">
        <f t="shared" si="0"/>
        <v>0</v>
      </c>
      <c r="S9" s="180">
        <f t="shared" si="0"/>
        <v>0</v>
      </c>
      <c r="T9" s="180">
        <f t="shared" si="0"/>
        <v>0</v>
      </c>
      <c r="U9" s="180">
        <f t="shared" si="0"/>
        <v>0</v>
      </c>
      <c r="V9" s="180">
        <f t="shared" si="0"/>
        <v>0</v>
      </c>
      <c r="W9" s="180">
        <f t="shared" si="0"/>
        <v>0</v>
      </c>
      <c r="X9" s="180">
        <f t="shared" si="0"/>
        <v>0</v>
      </c>
      <c r="Y9" s="180">
        <f t="shared" si="8"/>
        <v>0</v>
      </c>
      <c r="Z9" s="180">
        <f t="shared" si="9"/>
        <v>0</v>
      </c>
      <c r="AA9" s="180">
        <f t="shared" si="1"/>
        <v>0</v>
      </c>
      <c r="AB9" s="180">
        <f t="shared" si="1"/>
        <v>0</v>
      </c>
      <c r="AC9" s="180">
        <f t="shared" si="1"/>
        <v>0</v>
      </c>
      <c r="AD9" s="180">
        <f t="shared" si="1"/>
        <v>0</v>
      </c>
      <c r="AE9" s="180">
        <f t="shared" si="1"/>
        <v>0</v>
      </c>
      <c r="AF9" s="180">
        <f t="shared" si="1"/>
        <v>0</v>
      </c>
      <c r="AG9" s="180">
        <f t="shared" si="1"/>
        <v>0</v>
      </c>
      <c r="AH9" s="180">
        <f t="shared" si="1"/>
        <v>0</v>
      </c>
      <c r="AI9" s="180">
        <f t="shared" si="1"/>
        <v>0</v>
      </c>
      <c r="AJ9" s="180">
        <f t="shared" si="1"/>
        <v>0</v>
      </c>
      <c r="AK9" s="180">
        <f t="shared" si="10"/>
        <v>0</v>
      </c>
      <c r="AL9" s="180">
        <f t="shared" si="11"/>
        <v>0</v>
      </c>
      <c r="AM9" s="180">
        <f t="shared" si="2"/>
        <v>0</v>
      </c>
      <c r="AN9" s="180">
        <f t="shared" si="2"/>
        <v>0</v>
      </c>
      <c r="AO9" s="180">
        <f t="shared" si="2"/>
        <v>0</v>
      </c>
      <c r="AP9" s="180">
        <f t="shared" si="2"/>
        <v>0</v>
      </c>
      <c r="AQ9" s="180">
        <f t="shared" si="2"/>
        <v>0</v>
      </c>
      <c r="AR9" s="180">
        <f t="shared" si="2"/>
        <v>0</v>
      </c>
      <c r="AS9" s="180">
        <f t="shared" si="2"/>
        <v>0</v>
      </c>
      <c r="AT9" s="180">
        <f t="shared" si="2"/>
        <v>0</v>
      </c>
      <c r="AU9" s="180">
        <f t="shared" si="2"/>
        <v>0</v>
      </c>
      <c r="AV9" s="180">
        <f t="shared" si="2"/>
        <v>0</v>
      </c>
    </row>
    <row r="10" spans="1:49" s="145" customFormat="1" ht="21" customHeight="1">
      <c r="B10" s="176"/>
      <c r="C10" s="176"/>
      <c r="D10" s="189"/>
      <c r="E10" s="189"/>
      <c r="F10" s="189"/>
      <c r="G10" s="177"/>
      <c r="H10" s="178"/>
      <c r="I10" s="178"/>
      <c r="J10" s="179">
        <f t="shared" si="3"/>
        <v>0</v>
      </c>
      <c r="K10" s="179">
        <f t="shared" si="4"/>
        <v>0</v>
      </c>
      <c r="L10" s="179">
        <f t="shared" si="5"/>
        <v>0</v>
      </c>
      <c r="M10" s="180">
        <f t="shared" si="6"/>
        <v>0</v>
      </c>
      <c r="N10" s="180">
        <f t="shared" si="7"/>
        <v>0</v>
      </c>
      <c r="O10" s="180">
        <f t="shared" si="0"/>
        <v>0</v>
      </c>
      <c r="P10" s="180">
        <f t="shared" si="0"/>
        <v>0</v>
      </c>
      <c r="Q10" s="180">
        <f t="shared" si="0"/>
        <v>0</v>
      </c>
      <c r="R10" s="180">
        <f t="shared" si="0"/>
        <v>0</v>
      </c>
      <c r="S10" s="180">
        <f t="shared" si="0"/>
        <v>0</v>
      </c>
      <c r="T10" s="180">
        <f t="shared" si="0"/>
        <v>0</v>
      </c>
      <c r="U10" s="180">
        <f t="shared" si="0"/>
        <v>0</v>
      </c>
      <c r="V10" s="180">
        <f t="shared" si="0"/>
        <v>0</v>
      </c>
      <c r="W10" s="180">
        <f t="shared" si="0"/>
        <v>0</v>
      </c>
      <c r="X10" s="180">
        <f t="shared" si="0"/>
        <v>0</v>
      </c>
      <c r="Y10" s="180">
        <f t="shared" si="8"/>
        <v>0</v>
      </c>
      <c r="Z10" s="180">
        <f t="shared" si="9"/>
        <v>0</v>
      </c>
      <c r="AA10" s="180">
        <f t="shared" si="1"/>
        <v>0</v>
      </c>
      <c r="AB10" s="180">
        <f t="shared" si="1"/>
        <v>0</v>
      </c>
      <c r="AC10" s="180">
        <f t="shared" si="1"/>
        <v>0</v>
      </c>
      <c r="AD10" s="180">
        <f t="shared" si="1"/>
        <v>0</v>
      </c>
      <c r="AE10" s="180">
        <f t="shared" si="1"/>
        <v>0</v>
      </c>
      <c r="AF10" s="180">
        <f t="shared" si="1"/>
        <v>0</v>
      </c>
      <c r="AG10" s="180">
        <f t="shared" si="1"/>
        <v>0</v>
      </c>
      <c r="AH10" s="180">
        <f t="shared" si="1"/>
        <v>0</v>
      </c>
      <c r="AI10" s="180">
        <f t="shared" si="1"/>
        <v>0</v>
      </c>
      <c r="AJ10" s="180">
        <f t="shared" si="1"/>
        <v>0</v>
      </c>
      <c r="AK10" s="180">
        <f t="shared" si="10"/>
        <v>0</v>
      </c>
      <c r="AL10" s="180">
        <f t="shared" si="11"/>
        <v>0</v>
      </c>
      <c r="AM10" s="180">
        <f t="shared" si="2"/>
        <v>0</v>
      </c>
      <c r="AN10" s="180">
        <f t="shared" si="2"/>
        <v>0</v>
      </c>
      <c r="AO10" s="180">
        <f t="shared" si="2"/>
        <v>0</v>
      </c>
      <c r="AP10" s="180">
        <f t="shared" si="2"/>
        <v>0</v>
      </c>
      <c r="AQ10" s="180">
        <f t="shared" si="2"/>
        <v>0</v>
      </c>
      <c r="AR10" s="180">
        <f t="shared" si="2"/>
        <v>0</v>
      </c>
      <c r="AS10" s="180">
        <f t="shared" si="2"/>
        <v>0</v>
      </c>
      <c r="AT10" s="180">
        <f t="shared" si="2"/>
        <v>0</v>
      </c>
      <c r="AU10" s="180">
        <f t="shared" si="2"/>
        <v>0</v>
      </c>
      <c r="AV10" s="180">
        <f t="shared" si="2"/>
        <v>0</v>
      </c>
    </row>
    <row r="11" spans="1:49" s="145" customFormat="1" ht="21" customHeight="1">
      <c r="B11" s="181" t="s">
        <v>228</v>
      </c>
      <c r="C11" s="181"/>
      <c r="D11" s="189"/>
      <c r="E11" s="189"/>
      <c r="F11" s="189"/>
      <c r="G11" s="177"/>
      <c r="H11" s="178"/>
      <c r="I11" s="178"/>
      <c r="J11" s="179">
        <f t="shared" si="3"/>
        <v>0</v>
      </c>
      <c r="K11" s="179">
        <f t="shared" si="4"/>
        <v>0</v>
      </c>
      <c r="L11" s="179">
        <f t="shared" si="5"/>
        <v>0</v>
      </c>
      <c r="M11" s="180">
        <f t="shared" si="6"/>
        <v>0</v>
      </c>
      <c r="N11" s="180">
        <f t="shared" si="7"/>
        <v>0</v>
      </c>
      <c r="O11" s="180">
        <f t="shared" si="0"/>
        <v>0</v>
      </c>
      <c r="P11" s="180">
        <f t="shared" si="0"/>
        <v>0</v>
      </c>
      <c r="Q11" s="180">
        <f t="shared" si="0"/>
        <v>0</v>
      </c>
      <c r="R11" s="180">
        <f t="shared" si="0"/>
        <v>0</v>
      </c>
      <c r="S11" s="180">
        <f t="shared" si="0"/>
        <v>0</v>
      </c>
      <c r="T11" s="180">
        <f t="shared" si="0"/>
        <v>0</v>
      </c>
      <c r="U11" s="180">
        <f t="shared" si="0"/>
        <v>0</v>
      </c>
      <c r="V11" s="180">
        <f t="shared" si="0"/>
        <v>0</v>
      </c>
      <c r="W11" s="180">
        <f t="shared" si="0"/>
        <v>0</v>
      </c>
      <c r="X11" s="180">
        <f t="shared" si="0"/>
        <v>0</v>
      </c>
      <c r="Y11" s="180">
        <f t="shared" si="8"/>
        <v>0</v>
      </c>
      <c r="Z11" s="180">
        <f t="shared" si="9"/>
        <v>0</v>
      </c>
      <c r="AA11" s="180">
        <f t="shared" si="1"/>
        <v>0</v>
      </c>
      <c r="AB11" s="180">
        <f t="shared" si="1"/>
        <v>0</v>
      </c>
      <c r="AC11" s="180">
        <f t="shared" si="1"/>
        <v>0</v>
      </c>
      <c r="AD11" s="180">
        <f t="shared" si="1"/>
        <v>0</v>
      </c>
      <c r="AE11" s="180">
        <f t="shared" si="1"/>
        <v>0</v>
      </c>
      <c r="AF11" s="180">
        <f t="shared" si="1"/>
        <v>0</v>
      </c>
      <c r="AG11" s="180">
        <f t="shared" si="1"/>
        <v>0</v>
      </c>
      <c r="AH11" s="180">
        <f t="shared" si="1"/>
        <v>0</v>
      </c>
      <c r="AI11" s="180">
        <f t="shared" si="1"/>
        <v>0</v>
      </c>
      <c r="AJ11" s="180">
        <f t="shared" si="1"/>
        <v>0</v>
      </c>
      <c r="AK11" s="180">
        <f t="shared" si="10"/>
        <v>0</v>
      </c>
      <c r="AL11" s="180">
        <f t="shared" si="11"/>
        <v>0</v>
      </c>
      <c r="AM11" s="180">
        <f t="shared" si="2"/>
        <v>0</v>
      </c>
      <c r="AN11" s="180">
        <f t="shared" si="2"/>
        <v>0</v>
      </c>
      <c r="AO11" s="180">
        <f t="shared" si="2"/>
        <v>0</v>
      </c>
      <c r="AP11" s="180">
        <f t="shared" si="2"/>
        <v>0</v>
      </c>
      <c r="AQ11" s="180">
        <f t="shared" si="2"/>
        <v>0</v>
      </c>
      <c r="AR11" s="180">
        <f t="shared" si="2"/>
        <v>0</v>
      </c>
      <c r="AS11" s="180">
        <f t="shared" si="2"/>
        <v>0</v>
      </c>
      <c r="AT11" s="180">
        <f t="shared" si="2"/>
        <v>0</v>
      </c>
      <c r="AU11" s="180">
        <f t="shared" si="2"/>
        <v>0</v>
      </c>
      <c r="AV11" s="180">
        <f t="shared" si="2"/>
        <v>0</v>
      </c>
    </row>
    <row r="12" spans="1:49" s="148" customFormat="1" ht="21" customHeight="1">
      <c r="B12" s="182" t="s">
        <v>145</v>
      </c>
      <c r="C12" s="182"/>
      <c r="D12" s="182"/>
      <c r="E12" s="182"/>
      <c r="F12" s="182"/>
      <c r="G12" s="183"/>
      <c r="H12" s="184"/>
      <c r="I12" s="185"/>
      <c r="J12" s="185">
        <f>SUM(J5:J11)</f>
        <v>0</v>
      </c>
      <c r="K12" s="186">
        <f>SUM(K5:K11)</f>
        <v>0</v>
      </c>
      <c r="L12" s="186">
        <f>SUM(AK12:AV12)</f>
        <v>0</v>
      </c>
      <c r="M12" s="186">
        <f>SUM(M5:M11)+SUM(M5:M11)/0.87*13%</f>
        <v>0</v>
      </c>
      <c r="N12" s="186">
        <f t="shared" ref="N12:AV12" si="12">SUM(N5:N11)+SUM(N5:N11)/0.87*13%</f>
        <v>0</v>
      </c>
      <c r="O12" s="186">
        <f t="shared" si="12"/>
        <v>0</v>
      </c>
      <c r="P12" s="186">
        <f t="shared" si="12"/>
        <v>0</v>
      </c>
      <c r="Q12" s="186">
        <f t="shared" si="12"/>
        <v>0</v>
      </c>
      <c r="R12" s="186">
        <f t="shared" si="12"/>
        <v>0</v>
      </c>
      <c r="S12" s="186">
        <f t="shared" si="12"/>
        <v>0</v>
      </c>
      <c r="T12" s="186">
        <f t="shared" si="12"/>
        <v>0</v>
      </c>
      <c r="U12" s="186">
        <f t="shared" si="12"/>
        <v>0</v>
      </c>
      <c r="V12" s="186">
        <f t="shared" si="12"/>
        <v>0</v>
      </c>
      <c r="W12" s="186">
        <f t="shared" si="12"/>
        <v>0</v>
      </c>
      <c r="X12" s="186">
        <f t="shared" si="12"/>
        <v>0</v>
      </c>
      <c r="Y12" s="186">
        <f t="shared" si="12"/>
        <v>0</v>
      </c>
      <c r="Z12" s="186">
        <f t="shared" si="12"/>
        <v>0</v>
      </c>
      <c r="AA12" s="186">
        <f t="shared" si="12"/>
        <v>0</v>
      </c>
      <c r="AB12" s="186">
        <f t="shared" si="12"/>
        <v>0</v>
      </c>
      <c r="AC12" s="186">
        <f t="shared" si="12"/>
        <v>0</v>
      </c>
      <c r="AD12" s="186">
        <f t="shared" si="12"/>
        <v>0</v>
      </c>
      <c r="AE12" s="186">
        <f t="shared" si="12"/>
        <v>0</v>
      </c>
      <c r="AF12" s="186">
        <f t="shared" si="12"/>
        <v>0</v>
      </c>
      <c r="AG12" s="186">
        <f t="shared" si="12"/>
        <v>0</v>
      </c>
      <c r="AH12" s="186">
        <f t="shared" si="12"/>
        <v>0</v>
      </c>
      <c r="AI12" s="186">
        <f t="shared" si="12"/>
        <v>0</v>
      </c>
      <c r="AJ12" s="186">
        <f t="shared" si="12"/>
        <v>0</v>
      </c>
      <c r="AK12" s="186">
        <f t="shared" si="12"/>
        <v>0</v>
      </c>
      <c r="AL12" s="186">
        <f t="shared" si="12"/>
        <v>0</v>
      </c>
      <c r="AM12" s="186">
        <f t="shared" si="12"/>
        <v>0</v>
      </c>
      <c r="AN12" s="186">
        <f t="shared" si="12"/>
        <v>0</v>
      </c>
      <c r="AO12" s="186">
        <f t="shared" si="12"/>
        <v>0</v>
      </c>
      <c r="AP12" s="186">
        <f t="shared" si="12"/>
        <v>0</v>
      </c>
      <c r="AQ12" s="186">
        <f t="shared" si="12"/>
        <v>0</v>
      </c>
      <c r="AR12" s="186">
        <f t="shared" si="12"/>
        <v>0</v>
      </c>
      <c r="AS12" s="186">
        <f t="shared" si="12"/>
        <v>0</v>
      </c>
      <c r="AT12" s="186">
        <f t="shared" si="12"/>
        <v>0</v>
      </c>
      <c r="AU12" s="186">
        <f t="shared" si="12"/>
        <v>0</v>
      </c>
      <c r="AV12" s="186">
        <f t="shared" si="12"/>
        <v>0</v>
      </c>
    </row>
    <row r="13" spans="1:49">
      <c r="B13" s="168"/>
      <c r="C13" s="168"/>
      <c r="J13" s="168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</row>
    <row r="14" spans="1:49" s="133" customFormat="1" ht="15" customHeight="1">
      <c r="B14" s="169" t="s">
        <v>217</v>
      </c>
      <c r="C14" s="170"/>
      <c r="D14" s="136" t="s">
        <v>14</v>
      </c>
      <c r="E14" s="136" t="s">
        <v>15</v>
      </c>
      <c r="F14" s="136" t="s">
        <v>16</v>
      </c>
      <c r="G14" s="137"/>
      <c r="H14" s="136"/>
      <c r="I14" s="136"/>
      <c r="J14" s="136" t="s">
        <v>14</v>
      </c>
      <c r="K14" s="136" t="s">
        <v>15</v>
      </c>
      <c r="L14" s="136" t="s">
        <v>16</v>
      </c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8"/>
    </row>
    <row r="15" spans="1:49" s="139" customFormat="1" ht="27.6">
      <c r="B15" s="171" t="s">
        <v>117</v>
      </c>
      <c r="C15" s="171" t="s">
        <v>149</v>
      </c>
      <c r="D15" s="173" t="s">
        <v>231</v>
      </c>
      <c r="E15" s="173" t="s">
        <v>231</v>
      </c>
      <c r="F15" s="173" t="s">
        <v>231</v>
      </c>
      <c r="G15" s="172" t="s">
        <v>230</v>
      </c>
      <c r="H15" s="187"/>
      <c r="I15" s="187"/>
      <c r="J15" s="174" t="s">
        <v>0</v>
      </c>
      <c r="K15" s="174" t="s">
        <v>0</v>
      </c>
      <c r="L15" s="174" t="s">
        <v>0</v>
      </c>
      <c r="M15" s="175">
        <v>1</v>
      </c>
      <c r="N15" s="175">
        <v>2</v>
      </c>
      <c r="O15" s="175">
        <v>3</v>
      </c>
      <c r="P15" s="175">
        <v>4</v>
      </c>
      <c r="Q15" s="175">
        <v>5</v>
      </c>
      <c r="R15" s="175">
        <v>6</v>
      </c>
      <c r="S15" s="175">
        <v>7</v>
      </c>
      <c r="T15" s="175">
        <v>8</v>
      </c>
      <c r="U15" s="175">
        <v>9</v>
      </c>
      <c r="V15" s="175">
        <v>10</v>
      </c>
      <c r="W15" s="175">
        <v>11</v>
      </c>
      <c r="X15" s="175">
        <v>12</v>
      </c>
      <c r="Y15" s="175">
        <v>13</v>
      </c>
      <c r="Z15" s="175">
        <v>14</v>
      </c>
      <c r="AA15" s="175">
        <v>15</v>
      </c>
      <c r="AB15" s="175">
        <v>16</v>
      </c>
      <c r="AC15" s="175">
        <v>17</v>
      </c>
      <c r="AD15" s="175">
        <v>18</v>
      </c>
      <c r="AE15" s="175">
        <v>19</v>
      </c>
      <c r="AF15" s="175">
        <v>20</v>
      </c>
      <c r="AG15" s="175">
        <v>21</v>
      </c>
      <c r="AH15" s="175">
        <v>22</v>
      </c>
      <c r="AI15" s="175">
        <v>23</v>
      </c>
      <c r="AJ15" s="175">
        <v>24</v>
      </c>
      <c r="AK15" s="175">
        <v>25</v>
      </c>
      <c r="AL15" s="175">
        <v>26</v>
      </c>
      <c r="AM15" s="175">
        <v>27</v>
      </c>
      <c r="AN15" s="175">
        <v>28</v>
      </c>
      <c r="AO15" s="175">
        <v>29</v>
      </c>
      <c r="AP15" s="175">
        <v>30</v>
      </c>
      <c r="AQ15" s="175">
        <v>31</v>
      </c>
      <c r="AR15" s="175">
        <v>32</v>
      </c>
      <c r="AS15" s="175">
        <v>33</v>
      </c>
      <c r="AT15" s="175">
        <v>34</v>
      </c>
      <c r="AU15" s="175">
        <v>35</v>
      </c>
      <c r="AV15" s="175">
        <v>36</v>
      </c>
    </row>
    <row r="16" spans="1:49" s="145" customFormat="1" ht="21" customHeight="1">
      <c r="B16" s="332" t="s">
        <v>141</v>
      </c>
      <c r="C16" s="332" t="s">
        <v>217</v>
      </c>
      <c r="D16" s="364"/>
      <c r="E16" s="364"/>
      <c r="F16" s="364"/>
      <c r="G16" s="365"/>
      <c r="H16" s="188"/>
      <c r="I16" s="188"/>
      <c r="J16" s="179">
        <f ca="1">SUMIF($M$3:$AV$3,$J$3,$M16:$AV16)</f>
        <v>0</v>
      </c>
      <c r="K16" s="179">
        <f ca="1">SUMIF($M$3:$AV$3,$K$3,$M16:$AV16)</f>
        <v>0</v>
      </c>
      <c r="L16" s="179">
        <f ca="1">SUMIF($M$3:$AV$3,$L$3,$M16:$AV16)</f>
        <v>0</v>
      </c>
      <c r="M16" s="180">
        <f ca="1">SUMIF(Revenue_Optic_2!$A:$B,Payroll_Optic_2!$G16,Revenue_Optic_2!H:H)*$D16</f>
        <v>0</v>
      </c>
      <c r="N16" s="256">
        <f ca="1">SUMIF(Revenue_Optic_2!$A:$B,Payroll_Optic_2!$G16,Revenue_Optic_2!I:I)*$D16</f>
        <v>0</v>
      </c>
      <c r="O16" s="256">
        <f ca="1">SUMIF(Revenue_Optic_2!$A:$B,Payroll_Optic_2!$G16,Revenue_Optic_2!J:J)*$D16</f>
        <v>0</v>
      </c>
      <c r="P16" s="256">
        <f ca="1">SUMIF(Revenue_Optic_2!$A:$B,Payroll_Optic_2!$G16,Revenue_Optic_2!K:K)*$D16</f>
        <v>0</v>
      </c>
      <c r="Q16" s="256">
        <f ca="1">SUMIF(Revenue_Optic_2!$A:$B,Payroll_Optic_2!$G16,Revenue_Optic_2!L:L)*$D16</f>
        <v>0</v>
      </c>
      <c r="R16" s="256">
        <f ca="1">SUMIF(Revenue_Optic_2!$A:$B,Payroll_Optic_2!$G16,Revenue_Optic_2!M:M)*$D16</f>
        <v>0</v>
      </c>
      <c r="S16" s="256">
        <f ca="1">SUMIF(Revenue_Optic_2!$A:$B,Payroll_Optic_2!$G16,Revenue_Optic_2!N:N)*$D16</f>
        <v>0</v>
      </c>
      <c r="T16" s="256">
        <f ca="1">SUMIF(Revenue_Optic_2!$A:$B,Payroll_Optic_2!$G16,Revenue_Optic_2!O:O)*$D16</f>
        <v>0</v>
      </c>
      <c r="U16" s="256">
        <f ca="1">SUMIF(Revenue_Optic_2!$A:$B,Payroll_Optic_2!$G16,Revenue_Optic_2!P:P)*$D16</f>
        <v>0</v>
      </c>
      <c r="V16" s="256">
        <f ca="1">SUMIF(Revenue_Optic_2!$A:$B,Payroll_Optic_2!$G16,Revenue_Optic_2!Q:Q)*$D16</f>
        <v>0</v>
      </c>
      <c r="W16" s="256">
        <f ca="1">SUMIF(Revenue_Optic_2!$A:$B,Payroll_Optic_2!$G16,Revenue_Optic_2!R:R)*$D16</f>
        <v>0</v>
      </c>
      <c r="X16" s="256">
        <f ca="1">SUMIF(Revenue_Optic_2!$A:$B,Payroll_Optic_2!$G16,Revenue_Optic_2!S:S)*$D16</f>
        <v>0</v>
      </c>
      <c r="Y16" s="256">
        <f ca="1">SUMIF(Revenue_Optic_2!$A:$B,Payroll_Optic_2!$G16,Revenue_Optic_2!T:T)*$D16</f>
        <v>0</v>
      </c>
      <c r="Z16" s="256">
        <f ca="1">SUMIF(Revenue_Optic_2!$A:$B,Payroll_Optic_2!$G16,Revenue_Optic_2!U:U)*$D16</f>
        <v>0</v>
      </c>
      <c r="AA16" s="256">
        <f ca="1">SUMIF(Revenue_Optic_2!$A:$B,Payroll_Optic_2!$G16,Revenue_Optic_2!V:V)*$D16</f>
        <v>0</v>
      </c>
      <c r="AB16" s="256">
        <f ca="1">SUMIF(Revenue_Optic_2!$A:$B,Payroll_Optic_2!$G16,Revenue_Optic_2!W:W)*$D16</f>
        <v>0</v>
      </c>
      <c r="AC16" s="256">
        <f ca="1">SUMIF(Revenue_Optic_2!$A:$B,Payroll_Optic_2!$G16,Revenue_Optic_2!X:X)*$D16</f>
        <v>0</v>
      </c>
      <c r="AD16" s="256">
        <f ca="1">SUMIF(Revenue_Optic_2!$A:$B,Payroll_Optic_2!$G16,Revenue_Optic_2!Y:Y)*$D16</f>
        <v>0</v>
      </c>
      <c r="AE16" s="256">
        <f ca="1">SUMIF(Revenue_Optic_2!$A:$B,Payroll_Optic_2!$G16,Revenue_Optic_2!Z:Z)*$D16</f>
        <v>0</v>
      </c>
      <c r="AF16" s="256">
        <f ca="1">SUMIF(Revenue_Optic_2!$A:$B,Payroll_Optic_2!$G16,Revenue_Optic_2!AA:AA)*$D16</f>
        <v>0</v>
      </c>
      <c r="AG16" s="256">
        <f ca="1">SUMIF(Revenue_Optic_2!$A:$B,Payroll_Optic_2!$G16,Revenue_Optic_2!AB:AB)*$D16</f>
        <v>0</v>
      </c>
      <c r="AH16" s="256">
        <f ca="1">SUMIF(Revenue_Optic_2!$A:$B,Payroll_Optic_2!$G16,Revenue_Optic_2!AC:AC)*$D16</f>
        <v>0</v>
      </c>
      <c r="AI16" s="256">
        <f ca="1">SUMIF(Revenue_Optic_2!$A:$B,Payroll_Optic_2!$G16,Revenue_Optic_2!AD:AD)*$D16</f>
        <v>0</v>
      </c>
      <c r="AJ16" s="256">
        <f ca="1">SUMIF(Revenue_Optic_2!$A:$B,Payroll_Optic_2!$G16,Revenue_Optic_2!AE:AE)*$D16</f>
        <v>0</v>
      </c>
      <c r="AK16" s="256">
        <f ca="1">SUMIF(Revenue_Optic_2!$A:$B,Payroll_Optic_2!$G16,Revenue_Optic_2!AF:AF)*$D16</f>
        <v>0</v>
      </c>
      <c r="AL16" s="256">
        <f ca="1">SUMIF(Revenue_Optic_2!$A:$B,Payroll_Optic_2!$G16,Revenue_Optic_2!AG:AG)*$D16</f>
        <v>0</v>
      </c>
      <c r="AM16" s="256">
        <f ca="1">SUMIF(Revenue_Optic_2!$A:$B,Payroll_Optic_2!$G16,Revenue_Optic_2!AH:AH)*$D16</f>
        <v>0</v>
      </c>
      <c r="AN16" s="256">
        <f ca="1">SUMIF(Revenue_Optic_2!$A:$B,Payroll_Optic_2!$G16,Revenue_Optic_2!AI:AI)*$D16</f>
        <v>0</v>
      </c>
      <c r="AO16" s="256">
        <f ca="1">SUMIF(Revenue_Optic_2!$A:$B,Payroll_Optic_2!$G16,Revenue_Optic_2!AJ:AJ)*$D16</f>
        <v>0</v>
      </c>
      <c r="AP16" s="256">
        <f ca="1">SUMIF(Revenue_Optic_2!$A:$B,Payroll_Optic_2!$G16,Revenue_Optic_2!AK:AK)*$D16</f>
        <v>0</v>
      </c>
      <c r="AQ16" s="256">
        <f ca="1">SUMIF(Revenue_Optic_2!$A:$B,Payroll_Optic_2!$G16,Revenue_Optic_2!AL:AL)*$D16</f>
        <v>0</v>
      </c>
      <c r="AR16" s="256">
        <f ca="1">SUMIF(Revenue_Optic_2!$A:$B,Payroll_Optic_2!$G16,Revenue_Optic_2!AM:AM)*$D16</f>
        <v>0</v>
      </c>
      <c r="AS16" s="256">
        <f ca="1">SUMIF(Revenue_Optic_2!$A:$B,Payroll_Optic_2!$G16,Revenue_Optic_2!AN:AN)*$D16</f>
        <v>0</v>
      </c>
      <c r="AT16" s="256">
        <f ca="1">SUMIF(Revenue_Optic_2!$A:$B,Payroll_Optic_2!$G16,Revenue_Optic_2!AO:AO)*$D16</f>
        <v>0</v>
      </c>
      <c r="AU16" s="256">
        <f ca="1">SUMIF(Revenue_Optic_2!$A:$B,Payroll_Optic_2!$G16,Revenue_Optic_2!AP:AP)*$D16</f>
        <v>0</v>
      </c>
      <c r="AV16" s="256">
        <f ca="1">SUMIF(Revenue_Optic_2!$A:$B,Payroll_Optic_2!$G16,Revenue_Optic_2!AQ:AQ)*$D16</f>
        <v>0</v>
      </c>
    </row>
    <row r="17" spans="2:48" s="145" customFormat="1" ht="21" customHeight="1">
      <c r="B17" s="332" t="s">
        <v>143</v>
      </c>
      <c r="C17" s="332" t="s">
        <v>217</v>
      </c>
      <c r="D17" s="366"/>
      <c r="E17" s="366"/>
      <c r="F17" s="366"/>
      <c r="G17" s="365"/>
      <c r="H17" s="188"/>
      <c r="I17" s="188"/>
      <c r="J17" s="179">
        <f t="shared" ref="J17:J21" ca="1" si="13">SUMIF($M$3:$AV$3,$J$3,$M17:$AV17)</f>
        <v>0</v>
      </c>
      <c r="K17" s="179">
        <f t="shared" ref="K17:K21" ca="1" si="14">SUMIF($M$3:$AV$3,$K$3,$M17:$AV17)</f>
        <v>0</v>
      </c>
      <c r="L17" s="179">
        <f t="shared" ref="L17:L21" ca="1" si="15">SUMIF($M$3:$AV$3,$L$3,$M17:$AV17)</f>
        <v>0</v>
      </c>
      <c r="M17" s="180">
        <f ca="1">SUMIF(Revenue_Optic_2!$A:$B,Payroll_Optic_2!$G17,Revenue_Optic_2!H:H)*$D17</f>
        <v>0</v>
      </c>
      <c r="N17" s="256">
        <f ca="1">SUMIF(Revenue_Optic_2!$A:$B,Payroll_Optic_2!$G17,Revenue_Optic_2!I:I)*$D17</f>
        <v>0</v>
      </c>
      <c r="O17" s="256">
        <f ca="1">SUMIF(Revenue_Optic_2!$A:$B,Payroll_Optic_2!$G17,Revenue_Optic_2!J:J)*$D17</f>
        <v>0</v>
      </c>
      <c r="P17" s="256">
        <f ca="1">SUMIF(Revenue_Optic_2!$A:$B,Payroll_Optic_2!$G17,Revenue_Optic_2!K:K)*$D17</f>
        <v>0</v>
      </c>
      <c r="Q17" s="256">
        <f ca="1">SUMIF(Revenue_Optic_2!$A:$B,Payroll_Optic_2!$G17,Revenue_Optic_2!L:L)*$D17</f>
        <v>0</v>
      </c>
      <c r="R17" s="256">
        <f ca="1">SUMIF(Revenue_Optic_2!$A:$B,Payroll_Optic_2!$G17,Revenue_Optic_2!M:M)*$D17</f>
        <v>0</v>
      </c>
      <c r="S17" s="256">
        <f ca="1">SUMIF(Revenue_Optic_2!$A:$B,Payroll_Optic_2!$G17,Revenue_Optic_2!N:N)*$D17</f>
        <v>0</v>
      </c>
      <c r="T17" s="256">
        <f ca="1">SUMIF(Revenue_Optic_2!$A:$B,Payroll_Optic_2!$G17,Revenue_Optic_2!O:O)*$D17</f>
        <v>0</v>
      </c>
      <c r="U17" s="256">
        <f ca="1">SUMIF(Revenue_Optic_2!$A:$B,Payroll_Optic_2!$G17,Revenue_Optic_2!P:P)*$D17</f>
        <v>0</v>
      </c>
      <c r="V17" s="256">
        <f ca="1">SUMIF(Revenue_Optic_2!$A:$B,Payroll_Optic_2!$G17,Revenue_Optic_2!Q:Q)*$D17</f>
        <v>0</v>
      </c>
      <c r="W17" s="256">
        <f ca="1">SUMIF(Revenue_Optic_2!$A:$B,Payroll_Optic_2!$G17,Revenue_Optic_2!R:R)*$D17</f>
        <v>0</v>
      </c>
      <c r="X17" s="256">
        <f ca="1">SUMIF(Revenue_Optic_2!$A:$B,Payroll_Optic_2!$G17,Revenue_Optic_2!S:S)*$D17</f>
        <v>0</v>
      </c>
      <c r="Y17" s="256">
        <f ca="1">SUMIF(Revenue_Optic_2!$A:$B,Payroll_Optic_2!$G17,Revenue_Optic_2!T:T)*$D17</f>
        <v>0</v>
      </c>
      <c r="Z17" s="256">
        <f ca="1">SUMIF(Revenue_Optic_2!$A:$B,Payroll_Optic_2!$G17,Revenue_Optic_2!U:U)*$D17</f>
        <v>0</v>
      </c>
      <c r="AA17" s="256">
        <f ca="1">SUMIF(Revenue_Optic_2!$A:$B,Payroll_Optic_2!$G17,Revenue_Optic_2!V:V)*$D17</f>
        <v>0</v>
      </c>
      <c r="AB17" s="256">
        <f ca="1">SUMIF(Revenue_Optic_2!$A:$B,Payroll_Optic_2!$G17,Revenue_Optic_2!W:W)*$D17</f>
        <v>0</v>
      </c>
      <c r="AC17" s="256">
        <f ca="1">SUMIF(Revenue_Optic_2!$A:$B,Payroll_Optic_2!$G17,Revenue_Optic_2!X:X)*$D17</f>
        <v>0</v>
      </c>
      <c r="AD17" s="256">
        <f ca="1">SUMIF(Revenue_Optic_2!$A:$B,Payroll_Optic_2!$G17,Revenue_Optic_2!Y:Y)*$D17</f>
        <v>0</v>
      </c>
      <c r="AE17" s="256">
        <f ca="1">SUMIF(Revenue_Optic_2!$A:$B,Payroll_Optic_2!$G17,Revenue_Optic_2!Z:Z)*$D17</f>
        <v>0</v>
      </c>
      <c r="AF17" s="256">
        <f ca="1">SUMIF(Revenue_Optic_2!$A:$B,Payroll_Optic_2!$G17,Revenue_Optic_2!AA:AA)*$D17</f>
        <v>0</v>
      </c>
      <c r="AG17" s="256">
        <f ca="1">SUMIF(Revenue_Optic_2!$A:$B,Payroll_Optic_2!$G17,Revenue_Optic_2!AB:AB)*$D17</f>
        <v>0</v>
      </c>
      <c r="AH17" s="256">
        <f ca="1">SUMIF(Revenue_Optic_2!$A:$B,Payroll_Optic_2!$G17,Revenue_Optic_2!AC:AC)*$D17</f>
        <v>0</v>
      </c>
      <c r="AI17" s="256">
        <f ca="1">SUMIF(Revenue_Optic_2!$A:$B,Payroll_Optic_2!$G17,Revenue_Optic_2!AD:AD)*$D17</f>
        <v>0</v>
      </c>
      <c r="AJ17" s="256">
        <f ca="1">SUMIF(Revenue_Optic_2!$A:$B,Payroll_Optic_2!$G17,Revenue_Optic_2!AE:AE)*$D17</f>
        <v>0</v>
      </c>
      <c r="AK17" s="256">
        <f ca="1">SUMIF(Revenue_Optic_2!$A:$B,Payroll_Optic_2!$G17,Revenue_Optic_2!AF:AF)*$D17</f>
        <v>0</v>
      </c>
      <c r="AL17" s="256">
        <f ca="1">SUMIF(Revenue_Optic_2!$A:$B,Payroll_Optic_2!$G17,Revenue_Optic_2!AG:AG)*$D17</f>
        <v>0</v>
      </c>
      <c r="AM17" s="256">
        <f ca="1">SUMIF(Revenue_Optic_2!$A:$B,Payroll_Optic_2!$G17,Revenue_Optic_2!AH:AH)*$D17</f>
        <v>0</v>
      </c>
      <c r="AN17" s="256">
        <f ca="1">SUMIF(Revenue_Optic_2!$A:$B,Payroll_Optic_2!$G17,Revenue_Optic_2!AI:AI)*$D17</f>
        <v>0</v>
      </c>
      <c r="AO17" s="256">
        <f ca="1">SUMIF(Revenue_Optic_2!$A:$B,Payroll_Optic_2!$G17,Revenue_Optic_2!AJ:AJ)*$D17</f>
        <v>0</v>
      </c>
      <c r="AP17" s="256">
        <f ca="1">SUMIF(Revenue_Optic_2!$A:$B,Payroll_Optic_2!$G17,Revenue_Optic_2!AK:AK)*$D17</f>
        <v>0</v>
      </c>
      <c r="AQ17" s="256">
        <f ca="1">SUMIF(Revenue_Optic_2!$A:$B,Payroll_Optic_2!$G17,Revenue_Optic_2!AL:AL)*$D17</f>
        <v>0</v>
      </c>
      <c r="AR17" s="256">
        <f ca="1">SUMIF(Revenue_Optic_2!$A:$B,Payroll_Optic_2!$G17,Revenue_Optic_2!AM:AM)*$D17</f>
        <v>0</v>
      </c>
      <c r="AS17" s="256">
        <f ca="1">SUMIF(Revenue_Optic_2!$A:$B,Payroll_Optic_2!$G17,Revenue_Optic_2!AN:AN)*$D17</f>
        <v>0</v>
      </c>
      <c r="AT17" s="256">
        <f ca="1">SUMIF(Revenue_Optic_2!$A:$B,Payroll_Optic_2!$G17,Revenue_Optic_2!AO:AO)*$D17</f>
        <v>0</v>
      </c>
      <c r="AU17" s="256">
        <f ca="1">SUMIF(Revenue_Optic_2!$A:$B,Payroll_Optic_2!$G17,Revenue_Optic_2!AP:AP)*$D17</f>
        <v>0</v>
      </c>
      <c r="AV17" s="256">
        <f ca="1">SUMIF(Revenue_Optic_2!$A:$B,Payroll_Optic_2!$G17,Revenue_Optic_2!AQ:AQ)*$D17</f>
        <v>0</v>
      </c>
    </row>
    <row r="18" spans="2:48" s="254" customFormat="1" ht="21" customHeight="1">
      <c r="B18" s="332" t="s">
        <v>144</v>
      </c>
      <c r="C18" s="332" t="s">
        <v>217</v>
      </c>
      <c r="D18" s="366"/>
      <c r="E18" s="364"/>
      <c r="F18" s="364"/>
      <c r="G18" s="365"/>
      <c r="H18" s="257"/>
      <c r="I18" s="257"/>
      <c r="J18" s="255">
        <f t="shared" ca="1" si="13"/>
        <v>0</v>
      </c>
      <c r="K18" s="255">
        <f t="shared" ca="1" si="14"/>
        <v>0</v>
      </c>
      <c r="L18" s="255">
        <f t="shared" ca="1" si="15"/>
        <v>0</v>
      </c>
      <c r="M18" s="256">
        <f ca="1">SUMIF(Revenue_Optic_2!$A:$B,Payroll_Optic_2!$G18,Revenue_Optic_2!H:H)*$D18</f>
        <v>0</v>
      </c>
      <c r="N18" s="256">
        <f ca="1">SUMIF(Revenue_Optic_2!$A:$B,Payroll_Optic_2!$G18,Revenue_Optic_2!I:I)*$D18</f>
        <v>0</v>
      </c>
      <c r="O18" s="256">
        <f ca="1">SUMIF(Revenue_Optic_2!$A:$B,Payroll_Optic_2!$G18,Revenue_Optic_2!J:J)*$D18</f>
        <v>0</v>
      </c>
      <c r="P18" s="256">
        <f ca="1">SUMIF(Revenue_Optic_2!$A:$B,Payroll_Optic_2!$G18,Revenue_Optic_2!K:K)*$D18</f>
        <v>0</v>
      </c>
      <c r="Q18" s="256">
        <f ca="1">SUMIF(Revenue_Optic_2!$A:$B,Payroll_Optic_2!$G18,Revenue_Optic_2!L:L)*$D18</f>
        <v>0</v>
      </c>
      <c r="R18" s="256">
        <f ca="1">SUMIF(Revenue_Optic_2!$A:$B,Payroll_Optic_2!$G18,Revenue_Optic_2!M:M)*$D18</f>
        <v>0</v>
      </c>
      <c r="S18" s="256">
        <f ca="1">SUMIF(Revenue_Optic_2!$A:$B,Payroll_Optic_2!$G18,Revenue_Optic_2!N:N)*$D18</f>
        <v>0</v>
      </c>
      <c r="T18" s="256">
        <f ca="1">SUMIF(Revenue_Optic_2!$A:$B,Payroll_Optic_2!$G18,Revenue_Optic_2!O:O)*$D18</f>
        <v>0</v>
      </c>
      <c r="U18" s="256">
        <f ca="1">SUMIF(Revenue_Optic_2!$A:$B,Payroll_Optic_2!$G18,Revenue_Optic_2!P:P)*$D18</f>
        <v>0</v>
      </c>
      <c r="V18" s="256">
        <f ca="1">SUMIF(Revenue_Optic_2!$A:$B,Payroll_Optic_2!$G18,Revenue_Optic_2!Q:Q)*$D18</f>
        <v>0</v>
      </c>
      <c r="W18" s="256">
        <f ca="1">SUMIF(Revenue_Optic_2!$A:$B,Payroll_Optic_2!$G18,Revenue_Optic_2!R:R)*$D18</f>
        <v>0</v>
      </c>
      <c r="X18" s="256">
        <f ca="1">SUMIF(Revenue_Optic_2!$A:$B,Payroll_Optic_2!$G18,Revenue_Optic_2!S:S)*$D18</f>
        <v>0</v>
      </c>
      <c r="Y18" s="256">
        <f ca="1">SUMIF(Revenue_Optic_2!$A:$B,Payroll_Optic_2!$G18,Revenue_Optic_2!T:T)*$D18</f>
        <v>0</v>
      </c>
      <c r="Z18" s="256">
        <f ca="1">SUMIF(Revenue_Optic_2!$A:$B,Payroll_Optic_2!$G18,Revenue_Optic_2!U:U)*$D18</f>
        <v>0</v>
      </c>
      <c r="AA18" s="256">
        <f ca="1">SUMIF(Revenue_Optic_2!$A:$B,Payroll_Optic_2!$G18,Revenue_Optic_2!V:V)*$D18</f>
        <v>0</v>
      </c>
      <c r="AB18" s="256">
        <f ca="1">SUMIF(Revenue_Optic_2!$A:$B,Payroll_Optic_2!$G18,Revenue_Optic_2!W:W)*$D18</f>
        <v>0</v>
      </c>
      <c r="AC18" s="256">
        <f ca="1">SUMIF(Revenue_Optic_2!$A:$B,Payroll_Optic_2!$G18,Revenue_Optic_2!X:X)*$D18</f>
        <v>0</v>
      </c>
      <c r="AD18" s="256">
        <f ca="1">SUMIF(Revenue_Optic_2!$A:$B,Payroll_Optic_2!$G18,Revenue_Optic_2!Y:Y)*$D18</f>
        <v>0</v>
      </c>
      <c r="AE18" s="256">
        <f ca="1">SUMIF(Revenue_Optic_2!$A:$B,Payroll_Optic_2!$G18,Revenue_Optic_2!Z:Z)*$D18</f>
        <v>0</v>
      </c>
      <c r="AF18" s="256">
        <f ca="1">SUMIF(Revenue_Optic_2!$A:$B,Payroll_Optic_2!$G18,Revenue_Optic_2!AA:AA)*$D18</f>
        <v>0</v>
      </c>
      <c r="AG18" s="256">
        <f ca="1">SUMIF(Revenue_Optic_2!$A:$B,Payroll_Optic_2!$G18,Revenue_Optic_2!AB:AB)*$D18</f>
        <v>0</v>
      </c>
      <c r="AH18" s="256">
        <f ca="1">SUMIF(Revenue_Optic_2!$A:$B,Payroll_Optic_2!$G18,Revenue_Optic_2!AC:AC)*$D18</f>
        <v>0</v>
      </c>
      <c r="AI18" s="256">
        <f ca="1">SUMIF(Revenue_Optic_2!$A:$B,Payroll_Optic_2!$G18,Revenue_Optic_2!AD:AD)*$D18</f>
        <v>0</v>
      </c>
      <c r="AJ18" s="256">
        <f ca="1">SUMIF(Revenue_Optic_2!$A:$B,Payroll_Optic_2!$G18,Revenue_Optic_2!AE:AE)*$D18</f>
        <v>0</v>
      </c>
      <c r="AK18" s="256">
        <f ca="1">SUMIF(Revenue_Optic_2!$A:$B,Payroll_Optic_2!$G18,Revenue_Optic_2!AF:AF)*$D18</f>
        <v>0</v>
      </c>
      <c r="AL18" s="256">
        <f ca="1">SUMIF(Revenue_Optic_2!$A:$B,Payroll_Optic_2!$G18,Revenue_Optic_2!AG:AG)*$D18</f>
        <v>0</v>
      </c>
      <c r="AM18" s="256">
        <f ca="1">SUMIF(Revenue_Optic_2!$A:$B,Payroll_Optic_2!$G18,Revenue_Optic_2!AH:AH)*$D18</f>
        <v>0</v>
      </c>
      <c r="AN18" s="256">
        <f ca="1">SUMIF(Revenue_Optic_2!$A:$B,Payroll_Optic_2!$G18,Revenue_Optic_2!AI:AI)*$D18</f>
        <v>0</v>
      </c>
      <c r="AO18" s="256">
        <f ca="1">SUMIF(Revenue_Optic_2!$A:$B,Payroll_Optic_2!$G18,Revenue_Optic_2!AJ:AJ)*$D18</f>
        <v>0</v>
      </c>
      <c r="AP18" s="256">
        <f ca="1">SUMIF(Revenue_Optic_2!$A:$B,Payroll_Optic_2!$G18,Revenue_Optic_2!AK:AK)*$D18</f>
        <v>0</v>
      </c>
      <c r="AQ18" s="256">
        <f ca="1">SUMIF(Revenue_Optic_2!$A:$B,Payroll_Optic_2!$G18,Revenue_Optic_2!AL:AL)*$D18</f>
        <v>0</v>
      </c>
      <c r="AR18" s="256">
        <f ca="1">SUMIF(Revenue_Optic_2!$A:$B,Payroll_Optic_2!$G18,Revenue_Optic_2!AM:AM)*$D18</f>
        <v>0</v>
      </c>
      <c r="AS18" s="256">
        <f ca="1">SUMIF(Revenue_Optic_2!$A:$B,Payroll_Optic_2!$G18,Revenue_Optic_2!AN:AN)*$D18</f>
        <v>0</v>
      </c>
      <c r="AT18" s="256">
        <f ca="1">SUMIF(Revenue_Optic_2!$A:$B,Payroll_Optic_2!$G18,Revenue_Optic_2!AO:AO)*$D18</f>
        <v>0</v>
      </c>
      <c r="AU18" s="256">
        <f ca="1">SUMIF(Revenue_Optic_2!$A:$B,Payroll_Optic_2!$G18,Revenue_Optic_2!AP:AP)*$D18</f>
        <v>0</v>
      </c>
      <c r="AV18" s="256">
        <f ca="1">SUMIF(Revenue_Optic_2!$A:$B,Payroll_Optic_2!$G18,Revenue_Optic_2!AQ:AQ)*$D18</f>
        <v>0</v>
      </c>
    </row>
    <row r="19" spans="2:48" s="145" customFormat="1" ht="21" customHeight="1">
      <c r="B19" s="332" t="s">
        <v>267</v>
      </c>
      <c r="C19" s="332" t="s">
        <v>217</v>
      </c>
      <c r="D19" s="366"/>
      <c r="E19" s="366"/>
      <c r="F19" s="366"/>
      <c r="G19" s="365"/>
      <c r="H19" s="188"/>
      <c r="I19" s="188"/>
      <c r="J19" s="179">
        <f t="shared" ca="1" si="13"/>
        <v>0</v>
      </c>
      <c r="K19" s="179">
        <f t="shared" ca="1" si="14"/>
        <v>0</v>
      </c>
      <c r="L19" s="179">
        <f t="shared" ca="1" si="15"/>
        <v>0</v>
      </c>
      <c r="M19" s="180">
        <f ca="1">SUMIF(Revenue_Optic_2!$A:$B,Payroll_Optic_2!$G19,Revenue_Optic_2!H:H)*$D19</f>
        <v>0</v>
      </c>
      <c r="N19" s="256">
        <f ca="1">SUMIF(Revenue_Optic_2!$A:$B,Payroll_Optic_2!$G19,Revenue_Optic_2!I:I)*$D19</f>
        <v>0</v>
      </c>
      <c r="O19" s="256">
        <f ca="1">SUMIF(Revenue_Optic_2!$A:$B,Payroll_Optic_2!$G19,Revenue_Optic_2!J:J)*$D19</f>
        <v>0</v>
      </c>
      <c r="P19" s="256">
        <f ca="1">SUMIF(Revenue_Optic_2!$A:$B,Payroll_Optic_2!$G19,Revenue_Optic_2!K:K)*$D19</f>
        <v>0</v>
      </c>
      <c r="Q19" s="256">
        <f ca="1">SUMIF(Revenue_Optic_2!$A:$B,Payroll_Optic_2!$G19,Revenue_Optic_2!L:L)*$D19</f>
        <v>0</v>
      </c>
      <c r="R19" s="256">
        <f ca="1">SUMIF(Revenue_Optic_2!$A:$B,Payroll_Optic_2!$G19,Revenue_Optic_2!M:M)*$D19</f>
        <v>0</v>
      </c>
      <c r="S19" s="256">
        <f ca="1">SUMIF(Revenue_Optic_2!$A:$B,Payroll_Optic_2!$G19,Revenue_Optic_2!N:N)*$D19</f>
        <v>0</v>
      </c>
      <c r="T19" s="256">
        <f ca="1">SUMIF(Revenue_Optic_2!$A:$B,Payroll_Optic_2!$G19,Revenue_Optic_2!O:O)*$D19</f>
        <v>0</v>
      </c>
      <c r="U19" s="256">
        <f ca="1">SUMIF(Revenue_Optic_2!$A:$B,Payroll_Optic_2!$G19,Revenue_Optic_2!P:P)*$D19</f>
        <v>0</v>
      </c>
      <c r="V19" s="256">
        <f ca="1">SUMIF(Revenue_Optic_2!$A:$B,Payroll_Optic_2!$G19,Revenue_Optic_2!Q:Q)*$D19</f>
        <v>0</v>
      </c>
      <c r="W19" s="256">
        <f ca="1">SUMIF(Revenue_Optic_2!$A:$B,Payroll_Optic_2!$G19,Revenue_Optic_2!R:R)*$D19</f>
        <v>0</v>
      </c>
      <c r="X19" s="256">
        <f ca="1">SUMIF(Revenue_Optic_2!$A:$B,Payroll_Optic_2!$G19,Revenue_Optic_2!S:S)*$D19</f>
        <v>0</v>
      </c>
      <c r="Y19" s="256">
        <f ca="1">SUMIF(Revenue_Optic_2!$A:$B,Payroll_Optic_2!$G19,Revenue_Optic_2!T:T)*$D19</f>
        <v>0</v>
      </c>
      <c r="Z19" s="256">
        <f ca="1">SUMIF(Revenue_Optic_2!$A:$B,Payroll_Optic_2!$G19,Revenue_Optic_2!U:U)*$D19</f>
        <v>0</v>
      </c>
      <c r="AA19" s="256">
        <f ca="1">SUMIF(Revenue_Optic_2!$A:$B,Payroll_Optic_2!$G19,Revenue_Optic_2!V:V)*$D19</f>
        <v>0</v>
      </c>
      <c r="AB19" s="256">
        <f ca="1">SUMIF(Revenue_Optic_2!$A:$B,Payroll_Optic_2!$G19,Revenue_Optic_2!W:W)*$D19</f>
        <v>0</v>
      </c>
      <c r="AC19" s="256">
        <f ca="1">SUMIF(Revenue_Optic_2!$A:$B,Payroll_Optic_2!$G19,Revenue_Optic_2!X:X)*$D19</f>
        <v>0</v>
      </c>
      <c r="AD19" s="256">
        <f ca="1">SUMIF(Revenue_Optic_2!$A:$B,Payroll_Optic_2!$G19,Revenue_Optic_2!Y:Y)*$D19</f>
        <v>0</v>
      </c>
      <c r="AE19" s="256">
        <f ca="1">SUMIF(Revenue_Optic_2!$A:$B,Payroll_Optic_2!$G19,Revenue_Optic_2!Z:Z)*$D19</f>
        <v>0</v>
      </c>
      <c r="AF19" s="256">
        <f ca="1">SUMIF(Revenue_Optic_2!$A:$B,Payroll_Optic_2!$G19,Revenue_Optic_2!AA:AA)*$D19</f>
        <v>0</v>
      </c>
      <c r="AG19" s="256">
        <f ca="1">SUMIF(Revenue_Optic_2!$A:$B,Payroll_Optic_2!$G19,Revenue_Optic_2!AB:AB)*$D19</f>
        <v>0</v>
      </c>
      <c r="AH19" s="256">
        <f ca="1">SUMIF(Revenue_Optic_2!$A:$B,Payroll_Optic_2!$G19,Revenue_Optic_2!AC:AC)*$D19</f>
        <v>0</v>
      </c>
      <c r="AI19" s="256">
        <f ca="1">SUMIF(Revenue_Optic_2!$A:$B,Payroll_Optic_2!$G19,Revenue_Optic_2!AD:AD)*$D19</f>
        <v>0</v>
      </c>
      <c r="AJ19" s="256">
        <f ca="1">SUMIF(Revenue_Optic_2!$A:$B,Payroll_Optic_2!$G19,Revenue_Optic_2!AE:AE)*$D19</f>
        <v>0</v>
      </c>
      <c r="AK19" s="256">
        <f ca="1">SUMIF(Revenue_Optic_2!$A:$B,Payroll_Optic_2!$G19,Revenue_Optic_2!AF:AF)*$D19</f>
        <v>0</v>
      </c>
      <c r="AL19" s="256">
        <f ca="1">SUMIF(Revenue_Optic_2!$A:$B,Payroll_Optic_2!$G19,Revenue_Optic_2!AG:AG)*$D19</f>
        <v>0</v>
      </c>
      <c r="AM19" s="256">
        <f ca="1">SUMIF(Revenue_Optic_2!$A:$B,Payroll_Optic_2!$G19,Revenue_Optic_2!AH:AH)*$D19</f>
        <v>0</v>
      </c>
      <c r="AN19" s="256">
        <f ca="1">SUMIF(Revenue_Optic_2!$A:$B,Payroll_Optic_2!$G19,Revenue_Optic_2!AI:AI)*$D19</f>
        <v>0</v>
      </c>
      <c r="AO19" s="256">
        <f ca="1">SUMIF(Revenue_Optic_2!$A:$B,Payroll_Optic_2!$G19,Revenue_Optic_2!AJ:AJ)*$D19</f>
        <v>0</v>
      </c>
      <c r="AP19" s="256">
        <f ca="1">SUMIF(Revenue_Optic_2!$A:$B,Payroll_Optic_2!$G19,Revenue_Optic_2!AK:AK)*$D19</f>
        <v>0</v>
      </c>
      <c r="AQ19" s="256">
        <f ca="1">SUMIF(Revenue_Optic_2!$A:$B,Payroll_Optic_2!$G19,Revenue_Optic_2!AL:AL)*$D19</f>
        <v>0</v>
      </c>
      <c r="AR19" s="256">
        <f ca="1">SUMIF(Revenue_Optic_2!$A:$B,Payroll_Optic_2!$G19,Revenue_Optic_2!AM:AM)*$D19</f>
        <v>0</v>
      </c>
      <c r="AS19" s="256">
        <f ca="1">SUMIF(Revenue_Optic_2!$A:$B,Payroll_Optic_2!$G19,Revenue_Optic_2!AN:AN)*$D19</f>
        <v>0</v>
      </c>
      <c r="AT19" s="256">
        <f ca="1">SUMIF(Revenue_Optic_2!$A:$B,Payroll_Optic_2!$G19,Revenue_Optic_2!AO:AO)*$D19</f>
        <v>0</v>
      </c>
      <c r="AU19" s="256">
        <f ca="1">SUMIF(Revenue_Optic_2!$A:$B,Payroll_Optic_2!$G19,Revenue_Optic_2!AP:AP)*$D19</f>
        <v>0</v>
      </c>
      <c r="AV19" s="256">
        <f ca="1">SUMIF(Revenue_Optic_2!$A:$B,Payroll_Optic_2!$G19,Revenue_Optic_2!AQ:AQ)*$D19</f>
        <v>0</v>
      </c>
    </row>
    <row r="20" spans="2:48" s="145" customFormat="1" ht="21" customHeight="1">
      <c r="B20" s="332" t="s">
        <v>267</v>
      </c>
      <c r="C20" s="332" t="s">
        <v>217</v>
      </c>
      <c r="D20" s="366"/>
      <c r="E20" s="366"/>
      <c r="F20" s="366"/>
      <c r="G20" s="365"/>
      <c r="H20" s="188"/>
      <c r="I20" s="188"/>
      <c r="J20" s="179">
        <f t="shared" ca="1" si="13"/>
        <v>0</v>
      </c>
      <c r="K20" s="179">
        <f t="shared" ca="1" si="14"/>
        <v>0</v>
      </c>
      <c r="L20" s="179">
        <f t="shared" ca="1" si="15"/>
        <v>0</v>
      </c>
      <c r="M20" s="180">
        <f ca="1">SUMIF(Revenue_Optic_2!$A:$B,Payroll_Optic_2!$G20,Revenue_Optic_2!H:H)*$D20</f>
        <v>0</v>
      </c>
      <c r="N20" s="256">
        <f ca="1">SUMIF(Revenue_Optic_2!$A:$B,Payroll_Optic_2!$G20,Revenue_Optic_2!I:I)*$D20</f>
        <v>0</v>
      </c>
      <c r="O20" s="256">
        <f ca="1">SUMIF(Revenue_Optic_2!$A:$B,Payroll_Optic_2!$G20,Revenue_Optic_2!J:J)*$D20</f>
        <v>0</v>
      </c>
      <c r="P20" s="256">
        <f ca="1">SUMIF(Revenue_Optic_2!$A:$B,Payroll_Optic_2!$G20,Revenue_Optic_2!K:K)*$D20</f>
        <v>0</v>
      </c>
      <c r="Q20" s="256">
        <f ca="1">SUMIF(Revenue_Optic_2!$A:$B,Payroll_Optic_2!$G20,Revenue_Optic_2!L:L)*$D20</f>
        <v>0</v>
      </c>
      <c r="R20" s="256">
        <f ca="1">SUMIF(Revenue_Optic_2!$A:$B,Payroll_Optic_2!$G20,Revenue_Optic_2!M:M)*$D20</f>
        <v>0</v>
      </c>
      <c r="S20" s="256">
        <f ca="1">SUMIF(Revenue_Optic_2!$A:$B,Payroll_Optic_2!$G20,Revenue_Optic_2!N:N)*$D20</f>
        <v>0</v>
      </c>
      <c r="T20" s="256">
        <f ca="1">SUMIF(Revenue_Optic_2!$A:$B,Payroll_Optic_2!$G20,Revenue_Optic_2!O:O)*$D20</f>
        <v>0</v>
      </c>
      <c r="U20" s="256">
        <f ca="1">SUMIF(Revenue_Optic_2!$A:$B,Payroll_Optic_2!$G20,Revenue_Optic_2!P:P)*$D20</f>
        <v>0</v>
      </c>
      <c r="V20" s="256">
        <f ca="1">SUMIF(Revenue_Optic_2!$A:$B,Payroll_Optic_2!$G20,Revenue_Optic_2!Q:Q)*$D20</f>
        <v>0</v>
      </c>
      <c r="W20" s="256">
        <f ca="1">SUMIF(Revenue_Optic_2!$A:$B,Payroll_Optic_2!$G20,Revenue_Optic_2!R:R)*$D20</f>
        <v>0</v>
      </c>
      <c r="X20" s="256">
        <f ca="1">SUMIF(Revenue_Optic_2!$A:$B,Payroll_Optic_2!$G20,Revenue_Optic_2!S:S)*$D20</f>
        <v>0</v>
      </c>
      <c r="Y20" s="256">
        <f ca="1">SUMIF(Revenue_Optic_2!$A:$B,Payroll_Optic_2!$G20,Revenue_Optic_2!T:T)*$D20</f>
        <v>0</v>
      </c>
      <c r="Z20" s="256">
        <f ca="1">SUMIF(Revenue_Optic_2!$A:$B,Payroll_Optic_2!$G20,Revenue_Optic_2!U:U)*$D20</f>
        <v>0</v>
      </c>
      <c r="AA20" s="256">
        <f ca="1">SUMIF(Revenue_Optic_2!$A:$B,Payroll_Optic_2!$G20,Revenue_Optic_2!V:V)*$D20</f>
        <v>0</v>
      </c>
      <c r="AB20" s="256">
        <f ca="1">SUMIF(Revenue_Optic_2!$A:$B,Payroll_Optic_2!$G20,Revenue_Optic_2!W:W)*$D20</f>
        <v>0</v>
      </c>
      <c r="AC20" s="256">
        <f ca="1">SUMIF(Revenue_Optic_2!$A:$B,Payroll_Optic_2!$G20,Revenue_Optic_2!X:X)*$D20</f>
        <v>0</v>
      </c>
      <c r="AD20" s="256">
        <f ca="1">SUMIF(Revenue_Optic_2!$A:$B,Payroll_Optic_2!$G20,Revenue_Optic_2!Y:Y)*$D20</f>
        <v>0</v>
      </c>
      <c r="AE20" s="256">
        <f ca="1">SUMIF(Revenue_Optic_2!$A:$B,Payroll_Optic_2!$G20,Revenue_Optic_2!Z:Z)*$D20</f>
        <v>0</v>
      </c>
      <c r="AF20" s="256">
        <f ca="1">SUMIF(Revenue_Optic_2!$A:$B,Payroll_Optic_2!$G20,Revenue_Optic_2!AA:AA)*$D20</f>
        <v>0</v>
      </c>
      <c r="AG20" s="256">
        <f ca="1">SUMIF(Revenue_Optic_2!$A:$B,Payroll_Optic_2!$G20,Revenue_Optic_2!AB:AB)*$D20</f>
        <v>0</v>
      </c>
      <c r="AH20" s="256">
        <f ca="1">SUMIF(Revenue_Optic_2!$A:$B,Payroll_Optic_2!$G20,Revenue_Optic_2!AC:AC)*$D20</f>
        <v>0</v>
      </c>
      <c r="AI20" s="256">
        <f ca="1">SUMIF(Revenue_Optic_2!$A:$B,Payroll_Optic_2!$G20,Revenue_Optic_2!AD:AD)*$D20</f>
        <v>0</v>
      </c>
      <c r="AJ20" s="256">
        <f ca="1">SUMIF(Revenue_Optic_2!$A:$B,Payroll_Optic_2!$G20,Revenue_Optic_2!AE:AE)*$D20</f>
        <v>0</v>
      </c>
      <c r="AK20" s="256">
        <f ca="1">SUMIF(Revenue_Optic_2!$A:$B,Payroll_Optic_2!$G20,Revenue_Optic_2!AF:AF)*$D20</f>
        <v>0</v>
      </c>
      <c r="AL20" s="256">
        <f ca="1">SUMIF(Revenue_Optic_2!$A:$B,Payroll_Optic_2!$G20,Revenue_Optic_2!AG:AG)*$D20</f>
        <v>0</v>
      </c>
      <c r="AM20" s="256">
        <f ca="1">SUMIF(Revenue_Optic_2!$A:$B,Payroll_Optic_2!$G20,Revenue_Optic_2!AH:AH)*$D20</f>
        <v>0</v>
      </c>
      <c r="AN20" s="256">
        <f ca="1">SUMIF(Revenue_Optic_2!$A:$B,Payroll_Optic_2!$G20,Revenue_Optic_2!AI:AI)*$D20</f>
        <v>0</v>
      </c>
      <c r="AO20" s="256">
        <f ca="1">SUMIF(Revenue_Optic_2!$A:$B,Payroll_Optic_2!$G20,Revenue_Optic_2!AJ:AJ)*$D20</f>
        <v>0</v>
      </c>
      <c r="AP20" s="256">
        <f ca="1">SUMIF(Revenue_Optic_2!$A:$B,Payroll_Optic_2!$G20,Revenue_Optic_2!AK:AK)*$D20</f>
        <v>0</v>
      </c>
      <c r="AQ20" s="256">
        <f ca="1">SUMIF(Revenue_Optic_2!$A:$B,Payroll_Optic_2!$G20,Revenue_Optic_2!AL:AL)*$D20</f>
        <v>0</v>
      </c>
      <c r="AR20" s="256">
        <f ca="1">SUMIF(Revenue_Optic_2!$A:$B,Payroll_Optic_2!$G20,Revenue_Optic_2!AM:AM)*$D20</f>
        <v>0</v>
      </c>
      <c r="AS20" s="256">
        <f ca="1">SUMIF(Revenue_Optic_2!$A:$B,Payroll_Optic_2!$G20,Revenue_Optic_2!AN:AN)*$D20</f>
        <v>0</v>
      </c>
      <c r="AT20" s="256">
        <f ca="1">SUMIF(Revenue_Optic_2!$A:$B,Payroll_Optic_2!$G20,Revenue_Optic_2!AO:AO)*$D20</f>
        <v>0</v>
      </c>
      <c r="AU20" s="256">
        <f ca="1">SUMIF(Revenue_Optic_2!$A:$B,Payroll_Optic_2!$G20,Revenue_Optic_2!AP:AP)*$D20</f>
        <v>0</v>
      </c>
      <c r="AV20" s="256">
        <f ca="1">SUMIF(Revenue_Optic_2!$A:$B,Payroll_Optic_2!$G20,Revenue_Optic_2!AQ:AQ)*$D20</f>
        <v>0</v>
      </c>
    </row>
    <row r="21" spans="2:48" s="145" customFormat="1" ht="21" customHeight="1">
      <c r="B21" s="332" t="s">
        <v>267</v>
      </c>
      <c r="C21" s="332" t="s">
        <v>217</v>
      </c>
      <c r="D21" s="366"/>
      <c r="E21" s="366"/>
      <c r="F21" s="366"/>
      <c r="G21" s="365"/>
      <c r="H21" s="188"/>
      <c r="I21" s="188"/>
      <c r="J21" s="179">
        <f t="shared" ca="1" si="13"/>
        <v>0</v>
      </c>
      <c r="K21" s="179">
        <f t="shared" ca="1" si="14"/>
        <v>0</v>
      </c>
      <c r="L21" s="179">
        <f t="shared" ca="1" si="15"/>
        <v>0</v>
      </c>
      <c r="M21" s="180">
        <f ca="1">SUMIF(Revenue_Optic_2!$A:$B,Payroll_Optic_2!$G21,Revenue_Optic_2!H:H)*$D21</f>
        <v>0</v>
      </c>
      <c r="N21" s="256">
        <f ca="1">SUMIF(Revenue_Optic_2!$A:$B,Payroll_Optic_2!$G21,Revenue_Optic_2!I:I)*$D21</f>
        <v>0</v>
      </c>
      <c r="O21" s="256">
        <f ca="1">SUMIF(Revenue_Optic_2!$A:$B,Payroll_Optic_2!$G21,Revenue_Optic_2!J:J)*$D21</f>
        <v>0</v>
      </c>
      <c r="P21" s="256">
        <f ca="1">SUMIF(Revenue_Optic_2!$A:$B,Payroll_Optic_2!$G21,Revenue_Optic_2!K:K)*$D21</f>
        <v>0</v>
      </c>
      <c r="Q21" s="256">
        <f ca="1">SUMIF(Revenue_Optic_2!$A:$B,Payroll_Optic_2!$G21,Revenue_Optic_2!L:L)*$D21</f>
        <v>0</v>
      </c>
      <c r="R21" s="256">
        <f ca="1">SUMIF(Revenue_Optic_2!$A:$B,Payroll_Optic_2!$G21,Revenue_Optic_2!M:M)*$D21</f>
        <v>0</v>
      </c>
      <c r="S21" s="256">
        <f ca="1">SUMIF(Revenue_Optic_2!$A:$B,Payroll_Optic_2!$G21,Revenue_Optic_2!N:N)*$D21</f>
        <v>0</v>
      </c>
      <c r="T21" s="256">
        <f ca="1">SUMIF(Revenue_Optic_2!$A:$B,Payroll_Optic_2!$G21,Revenue_Optic_2!O:O)*$D21</f>
        <v>0</v>
      </c>
      <c r="U21" s="256">
        <f ca="1">SUMIF(Revenue_Optic_2!$A:$B,Payroll_Optic_2!$G21,Revenue_Optic_2!P:P)*$D21</f>
        <v>0</v>
      </c>
      <c r="V21" s="256">
        <f ca="1">SUMIF(Revenue_Optic_2!$A:$B,Payroll_Optic_2!$G21,Revenue_Optic_2!Q:Q)*$D21</f>
        <v>0</v>
      </c>
      <c r="W21" s="256">
        <f ca="1">SUMIF(Revenue_Optic_2!$A:$B,Payroll_Optic_2!$G21,Revenue_Optic_2!R:R)*$D21</f>
        <v>0</v>
      </c>
      <c r="X21" s="256">
        <f ca="1">SUMIF(Revenue_Optic_2!$A:$B,Payroll_Optic_2!$G21,Revenue_Optic_2!S:S)*$D21</f>
        <v>0</v>
      </c>
      <c r="Y21" s="256">
        <f ca="1">SUMIF(Revenue_Optic_2!$A:$B,Payroll_Optic_2!$G21,Revenue_Optic_2!T:T)*$D21</f>
        <v>0</v>
      </c>
      <c r="Z21" s="256">
        <f ca="1">SUMIF(Revenue_Optic_2!$A:$B,Payroll_Optic_2!$G21,Revenue_Optic_2!U:U)*$D21</f>
        <v>0</v>
      </c>
      <c r="AA21" s="256">
        <f ca="1">SUMIF(Revenue_Optic_2!$A:$B,Payroll_Optic_2!$G21,Revenue_Optic_2!V:V)*$D21</f>
        <v>0</v>
      </c>
      <c r="AB21" s="256">
        <f ca="1">SUMIF(Revenue_Optic_2!$A:$B,Payroll_Optic_2!$G21,Revenue_Optic_2!W:W)*$D21</f>
        <v>0</v>
      </c>
      <c r="AC21" s="256">
        <f ca="1">SUMIF(Revenue_Optic_2!$A:$B,Payroll_Optic_2!$G21,Revenue_Optic_2!X:X)*$D21</f>
        <v>0</v>
      </c>
      <c r="AD21" s="256">
        <f ca="1">SUMIF(Revenue_Optic_2!$A:$B,Payroll_Optic_2!$G21,Revenue_Optic_2!Y:Y)*$D21</f>
        <v>0</v>
      </c>
      <c r="AE21" s="256">
        <f ca="1">SUMIF(Revenue_Optic_2!$A:$B,Payroll_Optic_2!$G21,Revenue_Optic_2!Z:Z)*$D21</f>
        <v>0</v>
      </c>
      <c r="AF21" s="256">
        <f ca="1">SUMIF(Revenue_Optic_2!$A:$B,Payroll_Optic_2!$G21,Revenue_Optic_2!AA:AA)*$D21</f>
        <v>0</v>
      </c>
      <c r="AG21" s="256">
        <f ca="1">SUMIF(Revenue_Optic_2!$A:$B,Payroll_Optic_2!$G21,Revenue_Optic_2!AB:AB)*$D21</f>
        <v>0</v>
      </c>
      <c r="AH21" s="256">
        <f ca="1">SUMIF(Revenue_Optic_2!$A:$B,Payroll_Optic_2!$G21,Revenue_Optic_2!AC:AC)*$D21</f>
        <v>0</v>
      </c>
      <c r="AI21" s="256">
        <f ca="1">SUMIF(Revenue_Optic_2!$A:$B,Payroll_Optic_2!$G21,Revenue_Optic_2!AD:AD)*$D21</f>
        <v>0</v>
      </c>
      <c r="AJ21" s="256">
        <f ca="1">SUMIF(Revenue_Optic_2!$A:$B,Payroll_Optic_2!$G21,Revenue_Optic_2!AE:AE)*$D21</f>
        <v>0</v>
      </c>
      <c r="AK21" s="256">
        <f ca="1">SUMIF(Revenue_Optic_2!$A:$B,Payroll_Optic_2!$G21,Revenue_Optic_2!AF:AF)*$D21</f>
        <v>0</v>
      </c>
      <c r="AL21" s="256">
        <f ca="1">SUMIF(Revenue_Optic_2!$A:$B,Payroll_Optic_2!$G21,Revenue_Optic_2!AG:AG)*$D21</f>
        <v>0</v>
      </c>
      <c r="AM21" s="256">
        <f ca="1">SUMIF(Revenue_Optic_2!$A:$B,Payroll_Optic_2!$G21,Revenue_Optic_2!AH:AH)*$D21</f>
        <v>0</v>
      </c>
      <c r="AN21" s="256">
        <f ca="1">SUMIF(Revenue_Optic_2!$A:$B,Payroll_Optic_2!$G21,Revenue_Optic_2!AI:AI)*$D21</f>
        <v>0</v>
      </c>
      <c r="AO21" s="256">
        <f ca="1">SUMIF(Revenue_Optic_2!$A:$B,Payroll_Optic_2!$G21,Revenue_Optic_2!AJ:AJ)*$D21</f>
        <v>0</v>
      </c>
      <c r="AP21" s="256">
        <f ca="1">SUMIF(Revenue_Optic_2!$A:$B,Payroll_Optic_2!$G21,Revenue_Optic_2!AK:AK)*$D21</f>
        <v>0</v>
      </c>
      <c r="AQ21" s="256">
        <f ca="1">SUMIF(Revenue_Optic_2!$A:$B,Payroll_Optic_2!$G21,Revenue_Optic_2!AL:AL)*$D21</f>
        <v>0</v>
      </c>
      <c r="AR21" s="256">
        <f ca="1">SUMIF(Revenue_Optic_2!$A:$B,Payroll_Optic_2!$G21,Revenue_Optic_2!AM:AM)*$D21</f>
        <v>0</v>
      </c>
      <c r="AS21" s="256">
        <f ca="1">SUMIF(Revenue_Optic_2!$A:$B,Payroll_Optic_2!$G21,Revenue_Optic_2!AN:AN)*$D21</f>
        <v>0</v>
      </c>
      <c r="AT21" s="256">
        <f ca="1">SUMIF(Revenue_Optic_2!$A:$B,Payroll_Optic_2!$G21,Revenue_Optic_2!AO:AO)*$D21</f>
        <v>0</v>
      </c>
      <c r="AU21" s="256">
        <f ca="1">SUMIF(Revenue_Optic_2!$A:$B,Payroll_Optic_2!$G21,Revenue_Optic_2!AP:AP)*$D21</f>
        <v>0</v>
      </c>
      <c r="AV21" s="256">
        <f ca="1">SUMIF(Revenue_Optic_2!$A:$B,Payroll_Optic_2!$G21,Revenue_Optic_2!AQ:AQ)*$D21</f>
        <v>0</v>
      </c>
    </row>
    <row r="22" spans="2:48" s="148" customFormat="1" ht="21" customHeight="1">
      <c r="B22" s="182" t="s">
        <v>145</v>
      </c>
      <c r="C22" s="182"/>
      <c r="D22" s="182"/>
      <c r="E22" s="182"/>
      <c r="F22" s="182"/>
      <c r="G22" s="183"/>
      <c r="H22" s="184"/>
      <c r="I22" s="185"/>
      <c r="J22" s="185">
        <f ca="1">SUM(J16:J21)</f>
        <v>0</v>
      </c>
      <c r="K22" s="186">
        <f ca="1">SUM(K16:K21)</f>
        <v>0</v>
      </c>
      <c r="L22" s="186">
        <f ca="1">SUM(AK22:AV22)</f>
        <v>0</v>
      </c>
      <c r="M22" s="186">
        <f ca="1">SUM(M16:M21)+SUM(M16:M21)/0.87*13%</f>
        <v>0</v>
      </c>
      <c r="N22" s="186">
        <f t="shared" ref="N22:AV22" ca="1" si="16">SUM(N16:N21)+SUM(N16:N21)/0.87*13%</f>
        <v>0</v>
      </c>
      <c r="O22" s="186">
        <f t="shared" ca="1" si="16"/>
        <v>0</v>
      </c>
      <c r="P22" s="186">
        <f t="shared" ca="1" si="16"/>
        <v>0</v>
      </c>
      <c r="Q22" s="186">
        <f t="shared" ca="1" si="16"/>
        <v>0</v>
      </c>
      <c r="R22" s="186">
        <f t="shared" ca="1" si="16"/>
        <v>0</v>
      </c>
      <c r="S22" s="186">
        <f t="shared" ca="1" si="16"/>
        <v>0</v>
      </c>
      <c r="T22" s="186">
        <f t="shared" ca="1" si="16"/>
        <v>0</v>
      </c>
      <c r="U22" s="186">
        <f t="shared" ca="1" si="16"/>
        <v>0</v>
      </c>
      <c r="V22" s="186">
        <f t="shared" ca="1" si="16"/>
        <v>0</v>
      </c>
      <c r="W22" s="186">
        <f t="shared" ca="1" si="16"/>
        <v>0</v>
      </c>
      <c r="X22" s="186">
        <f t="shared" ca="1" si="16"/>
        <v>0</v>
      </c>
      <c r="Y22" s="186">
        <f t="shared" ca="1" si="16"/>
        <v>0</v>
      </c>
      <c r="Z22" s="186">
        <f t="shared" ca="1" si="16"/>
        <v>0</v>
      </c>
      <c r="AA22" s="186">
        <f t="shared" ca="1" si="16"/>
        <v>0</v>
      </c>
      <c r="AB22" s="186">
        <f t="shared" ca="1" si="16"/>
        <v>0</v>
      </c>
      <c r="AC22" s="186">
        <f t="shared" ca="1" si="16"/>
        <v>0</v>
      </c>
      <c r="AD22" s="186">
        <f t="shared" ca="1" si="16"/>
        <v>0</v>
      </c>
      <c r="AE22" s="186">
        <f t="shared" ca="1" si="16"/>
        <v>0</v>
      </c>
      <c r="AF22" s="186">
        <f t="shared" ca="1" si="16"/>
        <v>0</v>
      </c>
      <c r="AG22" s="186">
        <f t="shared" ca="1" si="16"/>
        <v>0</v>
      </c>
      <c r="AH22" s="186">
        <f t="shared" ca="1" si="16"/>
        <v>0</v>
      </c>
      <c r="AI22" s="186">
        <f t="shared" ca="1" si="16"/>
        <v>0</v>
      </c>
      <c r="AJ22" s="186">
        <f t="shared" ca="1" si="16"/>
        <v>0</v>
      </c>
      <c r="AK22" s="186">
        <f t="shared" ca="1" si="16"/>
        <v>0</v>
      </c>
      <c r="AL22" s="186">
        <f t="shared" ca="1" si="16"/>
        <v>0</v>
      </c>
      <c r="AM22" s="186">
        <f t="shared" ca="1" si="16"/>
        <v>0</v>
      </c>
      <c r="AN22" s="186">
        <f t="shared" ca="1" si="16"/>
        <v>0</v>
      </c>
      <c r="AO22" s="186">
        <f t="shared" ca="1" si="16"/>
        <v>0</v>
      </c>
      <c r="AP22" s="186">
        <f t="shared" ca="1" si="16"/>
        <v>0</v>
      </c>
      <c r="AQ22" s="186">
        <f t="shared" ca="1" si="16"/>
        <v>0</v>
      </c>
      <c r="AR22" s="186">
        <f t="shared" ca="1" si="16"/>
        <v>0</v>
      </c>
      <c r="AS22" s="186">
        <f t="shared" ca="1" si="16"/>
        <v>0</v>
      </c>
      <c r="AT22" s="186">
        <f t="shared" ca="1" si="16"/>
        <v>0</v>
      </c>
      <c r="AU22" s="186">
        <f t="shared" ca="1" si="16"/>
        <v>0</v>
      </c>
      <c r="AV22" s="186">
        <f t="shared" ca="1" si="16"/>
        <v>0</v>
      </c>
    </row>
    <row r="23" spans="2:48">
      <c r="J23" s="168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</row>
    <row r="24" spans="2:48" s="133" customFormat="1" ht="15" customHeight="1">
      <c r="B24" s="154" t="s">
        <v>120</v>
      </c>
      <c r="C24" s="135"/>
      <c r="D24" s="135"/>
      <c r="E24" s="135"/>
      <c r="F24" s="135"/>
      <c r="G24" s="155"/>
      <c r="H24" s="135"/>
      <c r="I24" s="135"/>
      <c r="J24" s="136" t="s">
        <v>14</v>
      </c>
      <c r="K24" s="136" t="s">
        <v>15</v>
      </c>
      <c r="L24" s="136" t="s">
        <v>16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</row>
    <row r="25" spans="2:48" s="148" customFormat="1" ht="21" customHeight="1">
      <c r="B25" s="182" t="s">
        <v>145</v>
      </c>
      <c r="C25" s="182"/>
      <c r="D25" s="182"/>
      <c r="E25" s="182"/>
      <c r="F25" s="182"/>
      <c r="G25" s="183"/>
      <c r="H25" s="184"/>
      <c r="I25" s="185"/>
      <c r="J25" s="179">
        <f ca="1">SUMIF($M$3:$AV$3,$J$3,$M25:$AV25)</f>
        <v>0</v>
      </c>
      <c r="K25" s="179">
        <f t="shared" ref="K25" ca="1" si="17">SUMIF($M$3:$AV$3,$K$3,$M25:$AV25)</f>
        <v>0</v>
      </c>
      <c r="L25" s="179">
        <f t="shared" ref="L25" ca="1" si="18">SUMIF($M$3:$AV$3,$L$3,$M25:$AV25)</f>
        <v>0</v>
      </c>
      <c r="M25" s="186">
        <f ca="1">(M22+M12)/0.87*30.2%</f>
        <v>0</v>
      </c>
      <c r="N25" s="186">
        <f t="shared" ref="N25:AV25" ca="1" si="19">(N22+N12)/0.87*30.2%</f>
        <v>0</v>
      </c>
      <c r="O25" s="186">
        <f t="shared" ca="1" si="19"/>
        <v>0</v>
      </c>
      <c r="P25" s="186">
        <f t="shared" ca="1" si="19"/>
        <v>0</v>
      </c>
      <c r="Q25" s="186">
        <f t="shared" ca="1" si="19"/>
        <v>0</v>
      </c>
      <c r="R25" s="186">
        <f t="shared" ca="1" si="19"/>
        <v>0</v>
      </c>
      <c r="S25" s="186">
        <f t="shared" ca="1" si="19"/>
        <v>0</v>
      </c>
      <c r="T25" s="186">
        <f t="shared" ca="1" si="19"/>
        <v>0</v>
      </c>
      <c r="U25" s="186">
        <f t="shared" ca="1" si="19"/>
        <v>0</v>
      </c>
      <c r="V25" s="186">
        <f t="shared" ca="1" si="19"/>
        <v>0</v>
      </c>
      <c r="W25" s="186">
        <f t="shared" ca="1" si="19"/>
        <v>0</v>
      </c>
      <c r="X25" s="186">
        <f t="shared" ca="1" si="19"/>
        <v>0</v>
      </c>
      <c r="Y25" s="186">
        <f t="shared" ca="1" si="19"/>
        <v>0</v>
      </c>
      <c r="Z25" s="186">
        <f t="shared" ca="1" si="19"/>
        <v>0</v>
      </c>
      <c r="AA25" s="186">
        <f t="shared" ca="1" si="19"/>
        <v>0</v>
      </c>
      <c r="AB25" s="186">
        <f t="shared" ca="1" si="19"/>
        <v>0</v>
      </c>
      <c r="AC25" s="186">
        <f t="shared" ca="1" si="19"/>
        <v>0</v>
      </c>
      <c r="AD25" s="186">
        <f t="shared" ca="1" si="19"/>
        <v>0</v>
      </c>
      <c r="AE25" s="186">
        <f t="shared" ca="1" si="19"/>
        <v>0</v>
      </c>
      <c r="AF25" s="186">
        <f t="shared" ca="1" si="19"/>
        <v>0</v>
      </c>
      <c r="AG25" s="186">
        <f t="shared" ca="1" si="19"/>
        <v>0</v>
      </c>
      <c r="AH25" s="186">
        <f t="shared" ca="1" si="19"/>
        <v>0</v>
      </c>
      <c r="AI25" s="186">
        <f t="shared" ca="1" si="19"/>
        <v>0</v>
      </c>
      <c r="AJ25" s="186">
        <f t="shared" ca="1" si="19"/>
        <v>0</v>
      </c>
      <c r="AK25" s="186">
        <f t="shared" ca="1" si="19"/>
        <v>0</v>
      </c>
      <c r="AL25" s="186">
        <f t="shared" ca="1" si="19"/>
        <v>0</v>
      </c>
      <c r="AM25" s="186">
        <f t="shared" ca="1" si="19"/>
        <v>0</v>
      </c>
      <c r="AN25" s="186">
        <f t="shared" ca="1" si="19"/>
        <v>0</v>
      </c>
      <c r="AO25" s="186">
        <f t="shared" ca="1" si="19"/>
        <v>0</v>
      </c>
      <c r="AP25" s="186">
        <f t="shared" ca="1" si="19"/>
        <v>0</v>
      </c>
      <c r="AQ25" s="186">
        <f t="shared" ca="1" si="19"/>
        <v>0</v>
      </c>
      <c r="AR25" s="186">
        <f t="shared" ca="1" si="19"/>
        <v>0</v>
      </c>
      <c r="AS25" s="186">
        <f t="shared" ca="1" si="19"/>
        <v>0</v>
      </c>
      <c r="AT25" s="186">
        <f t="shared" ca="1" si="19"/>
        <v>0</v>
      </c>
      <c r="AU25" s="186">
        <f t="shared" ca="1" si="19"/>
        <v>0</v>
      </c>
      <c r="AV25" s="186">
        <f t="shared" ca="1" si="19"/>
        <v>0</v>
      </c>
    </row>
    <row r="27" spans="2:48">
      <c r="B27" s="68"/>
      <c r="C27" s="68"/>
      <c r="D27" s="68"/>
    </row>
    <row r="28" spans="2:48">
      <c r="B28" s="68"/>
      <c r="C28" s="68"/>
      <c r="D28" s="68"/>
    </row>
    <row r="29" spans="2:48">
      <c r="B29" s="68"/>
      <c r="C29" s="68"/>
      <c r="D29" s="68"/>
    </row>
    <row r="30" spans="2:48">
      <c r="B30" s="68"/>
      <c r="C30" s="68"/>
      <c r="D30" s="68"/>
    </row>
  </sheetData>
  <dataValidations count="2">
    <dataValidation type="list" allowBlank="1" showInputMessage="1" showErrorMessage="1" sqref="G16:G18 G20:G21" xr:uid="{5E5937AA-293B-424F-AF0C-10C1DD7C5260}">
      <formula1>"товары,очки,услуги,МКЛ,3z lenz"</formula1>
    </dataValidation>
    <dataValidation type="list" allowBlank="1" showInputMessage="1" showErrorMessage="1" sqref="G19" xr:uid="{CE7EC7C1-6DA6-4905-9248-A725B6A29B77}">
      <formula1>"товары,Очковые линзы/оправы,услуги,МКЛ,3z lenz"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E317-B089-4A2F-B2B0-2D6E85DFFD1A}">
  <sheetPr>
    <tabColor rgb="FFCCFFCC"/>
    <pageSetUpPr fitToPage="1"/>
  </sheetPr>
  <dimension ref="A1:K89"/>
  <sheetViews>
    <sheetView zoomScale="70" zoomScaleNormal="70" workbookViewId="0">
      <pane xSplit="2" ySplit="1" topLeftCell="C29" activePane="bottomRight" state="frozen"/>
      <selection pane="topRight" activeCell="D1" sqref="D1"/>
      <selection pane="bottomLeft" activeCell="A10" sqref="A10"/>
      <selection pane="bottomRight" activeCell="J12" sqref="J12"/>
    </sheetView>
  </sheetViews>
  <sheetFormatPr defaultColWidth="8" defaultRowHeight="27.75" customHeight="1" outlineLevelRow="1" outlineLevelCol="1"/>
  <cols>
    <col min="1" max="1" width="27.109375" style="367" hidden="1" customWidth="1" outlineLevel="1"/>
    <col min="2" max="2" width="65.6640625" style="367" customWidth="1" collapsed="1"/>
    <col min="3" max="4" width="19.88671875" style="371" customWidth="1"/>
    <col min="5" max="5" width="26.33203125" style="371" customWidth="1"/>
    <col min="6" max="6" width="19.88671875" style="371" customWidth="1"/>
    <col min="7" max="7" width="8" style="370"/>
    <col min="8" max="8" width="21.109375" style="445" customWidth="1"/>
    <col min="9" max="9" width="8" style="370"/>
    <col min="10" max="10" width="59.44140625" style="370" customWidth="1"/>
    <col min="11" max="16384" width="8" style="370"/>
  </cols>
  <sheetData>
    <row r="1" spans="1:10" ht="27.75" customHeight="1" thickBot="1">
      <c r="B1" s="368"/>
      <c r="C1" s="409" t="s">
        <v>345</v>
      </c>
      <c r="D1" s="373" t="s">
        <v>345</v>
      </c>
      <c r="E1" s="373" t="s">
        <v>345</v>
      </c>
      <c r="F1" s="374" t="s">
        <v>345</v>
      </c>
      <c r="H1" s="373" t="s">
        <v>345</v>
      </c>
    </row>
    <row r="2" spans="1:10" ht="36" customHeight="1" thickTop="1">
      <c r="A2" s="372"/>
      <c r="B2" s="373" t="s">
        <v>370</v>
      </c>
      <c r="C2" s="409" t="s">
        <v>14</v>
      </c>
      <c r="D2" s="376" t="s">
        <v>15</v>
      </c>
      <c r="E2" s="432" t="s">
        <v>16</v>
      </c>
      <c r="F2" s="435" t="s">
        <v>359</v>
      </c>
      <c r="H2" s="376" t="s">
        <v>397</v>
      </c>
    </row>
    <row r="3" spans="1:10" s="383" customFormat="1" ht="27.75" customHeight="1">
      <c r="A3" s="378" t="s">
        <v>346</v>
      </c>
      <c r="B3" s="379" t="s">
        <v>134</v>
      </c>
      <c r="C3" s="382">
        <f>SUMIF('PL OFT_2'!$AU:$AU,'Сравнение Рх показателей'!$A3,'PL OFT_2'!D:D)</f>
        <v>210730609</v>
      </c>
      <c r="D3" s="381">
        <f>SUMIF('PL OFT_2'!$AU:$AU,'Сравнение Рх показателей'!$A3,'PL OFT_2'!E:E)</f>
        <v>504328948</v>
      </c>
      <c r="E3" s="381">
        <f>SUMIF('PL OFT_2'!$AU:$AU,'Сравнение Рх показателей'!$A3,'PL OFT_2'!F:F)</f>
        <v>657695388</v>
      </c>
      <c r="F3" s="380">
        <f>SUM(C3:E3)</f>
        <v>1372754945</v>
      </c>
      <c r="H3" s="438">
        <v>435287531.80000001</v>
      </c>
    </row>
    <row r="4" spans="1:10" s="389" customFormat="1" ht="27.75" customHeight="1">
      <c r="A4" s="384"/>
      <c r="B4" s="385" t="s">
        <v>402</v>
      </c>
      <c r="C4" s="388">
        <f>C6+C8+C10+C12</f>
        <v>66571685.148354746</v>
      </c>
      <c r="D4" s="387">
        <f t="shared" ref="D4:E4" si="0">D6+D8+D10+D12</f>
        <v>159850054.46087423</v>
      </c>
      <c r="E4" s="387">
        <f t="shared" si="0"/>
        <v>210252548.64333296</v>
      </c>
      <c r="F4" s="386">
        <f>SUM(C4:E4)</f>
        <v>436674288.25256193</v>
      </c>
      <c r="H4" s="439">
        <v>140700326.22999999</v>
      </c>
    </row>
    <row r="5" spans="1:10" s="369" customFormat="1" ht="27.75" customHeight="1">
      <c r="A5" s="390"/>
      <c r="B5" s="391" t="str">
        <f>CONCATENATE(" ","% влияние на рентабельность")</f>
        <v xml:space="preserve"> % влияние на рентабельность</v>
      </c>
      <c r="C5" s="394">
        <f>C4/$C$3</f>
        <v>0.31590894870120528</v>
      </c>
      <c r="D5" s="393">
        <f>D4/$D$3</f>
        <v>0.31695593737933564</v>
      </c>
      <c r="E5" s="393">
        <f>E4/$E$3</f>
        <v>0.31968074047576106</v>
      </c>
      <c r="F5" s="392">
        <f>F4/$F$3</f>
        <v>0.31810068493511195</v>
      </c>
      <c r="H5" s="440">
        <f>H4/$H$3</f>
        <v>0.32323536961460009</v>
      </c>
      <c r="I5" s="553">
        <f t="shared" ref="I5:I43" si="1">H5-D5</f>
        <v>6.2794322352644483E-3</v>
      </c>
    </row>
    <row r="6" spans="1:10" s="400" customFormat="1" ht="27.75" customHeight="1" outlineLevel="1">
      <c r="A6" s="395" t="s">
        <v>347</v>
      </c>
      <c r="B6" s="396" t="s">
        <v>2</v>
      </c>
      <c r="C6" s="399">
        <f>SUMIF('PL OFT_2'!$AU:$AU,'Сравнение Рх показателей'!$A6,'PL OFT_2'!D:D)</f>
        <v>49310962.505999997</v>
      </c>
      <c r="D6" s="398">
        <f>SUMIF('PL OFT_2'!$AU:$AU,'Сравнение Рх показателей'!$A6,'PL OFT_2'!E:E)</f>
        <v>118012973.83200002</v>
      </c>
      <c r="E6" s="433">
        <f>SUMIF('PL OFT_2'!$AU:$AU,'Сравнение Рх показателей'!$A6,'PL OFT_2'!F:F)</f>
        <v>153900720.79200003</v>
      </c>
      <c r="F6" s="397">
        <f>SUM(C6:E6)</f>
        <v>321224657.13</v>
      </c>
      <c r="H6" s="441">
        <v>94152139.75</v>
      </c>
      <c r="I6" s="553"/>
    </row>
    <row r="7" spans="1:10" s="406" customFormat="1" ht="27.75" customHeight="1" outlineLevel="1">
      <c r="A7" s="401"/>
      <c r="B7" s="402" t="str">
        <f>CONCATENATE(" ","% влияние на рентабельность")</f>
        <v xml:space="preserve"> % влияние на рентабельность</v>
      </c>
      <c r="C7" s="405">
        <f>C6/$C$3</f>
        <v>0.23399999999999999</v>
      </c>
      <c r="D7" s="404">
        <f>D6/$D$3</f>
        <v>0.23400000000000004</v>
      </c>
      <c r="E7" s="434">
        <f>E6/$E$3</f>
        <v>0.23400000000000004</v>
      </c>
      <c r="F7" s="403">
        <f>F6/$F$3</f>
        <v>0.23399999999999999</v>
      </c>
      <c r="H7" s="442">
        <f>H6/$H$3</f>
        <v>0.2162987287062009</v>
      </c>
      <c r="I7" s="553">
        <f t="shared" si="1"/>
        <v>-1.7701271293799142E-2</v>
      </c>
      <c r="J7" s="545" t="s">
        <v>412</v>
      </c>
    </row>
    <row r="8" spans="1:10" s="400" customFormat="1" ht="27.75" customHeight="1" outlineLevel="1">
      <c r="A8" s="395" t="s">
        <v>348</v>
      </c>
      <c r="B8" s="396" t="s">
        <v>403</v>
      </c>
      <c r="C8" s="399">
        <f>SUMIF('PL OFT_2'!$AU:$AU,'Сравнение Рх показателей'!$A8,'PL OFT_2'!D:D)</f>
        <v>1118226.8298124452</v>
      </c>
      <c r="D8" s="398">
        <f>SUMIF('PL OFT_2'!$AU:$AU,'Сравнение Рх показателей'!$A8,'PL OFT_2'!E:E)</f>
        <v>2676185.312522328</v>
      </c>
      <c r="E8" s="433">
        <f>SUMIF('PL OFT_2'!$AU:$AU,'Сравнение Рх показателей'!$A8,'PL OFT_2'!F:F)</f>
        <v>3490013.3027447681</v>
      </c>
      <c r="F8" s="397">
        <f>SUM(C8:E8)</f>
        <v>7284425.4450795408</v>
      </c>
      <c r="H8" s="441">
        <v>2309822</v>
      </c>
      <c r="I8" s="553"/>
    </row>
    <row r="9" spans="1:10" s="406" customFormat="1" ht="27.75" customHeight="1" outlineLevel="1">
      <c r="A9" s="401"/>
      <c r="B9" s="402" t="str">
        <f>CONCATENATE(" ","% влияние на рентабельность")</f>
        <v xml:space="preserve"> % влияние на рентабельность</v>
      </c>
      <c r="C9" s="405">
        <f>C8/$C$3</f>
        <v>5.3064281222309061E-3</v>
      </c>
      <c r="D9" s="404">
        <f>D8/$D$3</f>
        <v>5.3064281222309053E-3</v>
      </c>
      <c r="E9" s="434">
        <f>E8/$E$3</f>
        <v>5.3064281222309079E-3</v>
      </c>
      <c r="F9" s="403">
        <f>F8/$F$3</f>
        <v>5.3064281222309061E-3</v>
      </c>
      <c r="H9" s="442">
        <f>H8/$H$3</f>
        <v>5.3064281222309061E-3</v>
      </c>
      <c r="I9" s="553">
        <f t="shared" si="1"/>
        <v>0</v>
      </c>
    </row>
    <row r="10" spans="1:10" s="400" customFormat="1" ht="27.75" customHeight="1" outlineLevel="1">
      <c r="A10" s="395" t="s">
        <v>349</v>
      </c>
      <c r="B10" s="396" t="s">
        <v>325</v>
      </c>
      <c r="C10" s="399">
        <f>SUMIF('PL OFT_2'!$AU:$AU,'Сравнение Рх показателей'!$A10,'PL OFT_2'!D:D)</f>
        <v>5076337.8125423063</v>
      </c>
      <c r="D10" s="398">
        <f>SUMIF('PL OFT_2'!$AU:$AU,'Сравнение Рх показателей'!$A10,'PL OFT_2'!E:E)</f>
        <v>12148895.316351896</v>
      </c>
      <c r="E10" s="433">
        <f>SUMIF('PL OFT_2'!$AU:$AU,'Сравнение Рх показателей'!$A10,'PL OFT_2'!F:F)</f>
        <v>15843374.548588164</v>
      </c>
      <c r="F10" s="397">
        <f>SUM(C10:E10)</f>
        <v>33068607.677482367</v>
      </c>
      <c r="H10" s="441">
        <v>11402067.949999999</v>
      </c>
      <c r="I10" s="553"/>
    </row>
    <row r="11" spans="1:10" s="406" customFormat="1" ht="27.75" customHeight="1" outlineLevel="1">
      <c r="A11" s="401"/>
      <c r="B11" s="402" t="str">
        <f>CONCATENATE(" ","% влияние на рентабельность")</f>
        <v xml:space="preserve"> % влияние на рентабельность</v>
      </c>
      <c r="C11" s="405">
        <f>C10/$C$3</f>
        <v>2.4089228596792536E-2</v>
      </c>
      <c r="D11" s="404">
        <f>D10/$D$3</f>
        <v>2.4089228596792536E-2</v>
      </c>
      <c r="E11" s="434">
        <f>E10/$E$3</f>
        <v>2.408922859679254E-2</v>
      </c>
      <c r="F11" s="403">
        <f>F10/$F$3</f>
        <v>2.4089228596792536E-2</v>
      </c>
      <c r="H11" s="442">
        <f>H10/$H$3</f>
        <v>2.6194336196238368E-2</v>
      </c>
      <c r="I11" s="553">
        <f t="shared" si="1"/>
        <v>2.1051075994458317E-3</v>
      </c>
    </row>
    <row r="12" spans="1:10" s="400" customFormat="1" ht="27.75" customHeight="1" outlineLevel="1">
      <c r="A12" s="395" t="s">
        <v>350</v>
      </c>
      <c r="B12" s="396" t="s">
        <v>326</v>
      </c>
      <c r="C12" s="399">
        <f>SUMIF('PL OFT_2'!$AU:$AU,'Сравнение Рх показателей'!$A12,'PL OFT_2'!D:D)</f>
        <v>11066158</v>
      </c>
      <c r="D12" s="398">
        <f>SUMIF('PL OFT_2'!$AU:$AU,'Сравнение Рх показателей'!$A12,'PL OFT_2'!E:E)</f>
        <v>27012000</v>
      </c>
      <c r="E12" s="433">
        <f>SUMIF('PL OFT_2'!$AU:$AU,'Сравнение Рх показателей'!$A12,'PL OFT_2'!F:F)</f>
        <v>37018440</v>
      </c>
      <c r="F12" s="397">
        <f>SUM(C12:E12)</f>
        <v>75096598</v>
      </c>
      <c r="H12" s="441">
        <v>32836296.529999997</v>
      </c>
      <c r="I12" s="553"/>
      <c r="J12" s="545" t="s">
        <v>416</v>
      </c>
    </row>
    <row r="13" spans="1:10" s="406" customFormat="1" ht="27.75" customHeight="1" outlineLevel="1">
      <c r="A13" s="401"/>
      <c r="B13" s="402" t="str">
        <f>CONCATENATE(" ","% влияние на рентабельность")</f>
        <v xml:space="preserve"> % влияние на рентабельность</v>
      </c>
      <c r="C13" s="405">
        <f>C12/$C$3</f>
        <v>5.251329198218186E-2</v>
      </c>
      <c r="D13" s="404">
        <f>D12/$D$3</f>
        <v>5.3560280660312203E-2</v>
      </c>
      <c r="E13" s="434">
        <f>E12/$E$3</f>
        <v>5.6285083756737547E-2</v>
      </c>
      <c r="F13" s="403">
        <f>F12/$F$3</f>
        <v>5.470502821608849E-2</v>
      </c>
      <c r="H13" s="442">
        <f>H12/$H$3</f>
        <v>7.5435876589929923E-2</v>
      </c>
      <c r="I13" s="553">
        <f t="shared" si="1"/>
        <v>2.1875595929617721E-2</v>
      </c>
    </row>
    <row r="14" spans="1:10" s="383" customFormat="1" ht="27.75" customHeight="1">
      <c r="A14" s="407" t="s">
        <v>351</v>
      </c>
      <c r="B14" s="385" t="s">
        <v>352</v>
      </c>
      <c r="C14" s="399">
        <f>SUMIF('PL OFT_2'!$AU:$AU,'Сравнение Рх показателей'!$A14,'PL OFT_2'!D:D)</f>
        <v>6702064.9832210317</v>
      </c>
      <c r="D14" s="398">
        <f>SUMIF('PL OFT_2'!$AU:$AU,'Сравнение Рх показателей'!$A14,'PL OFT_2'!E:E)</f>
        <v>16265616.678557277</v>
      </c>
      <c r="E14" s="433">
        <f>SUMIF('PL OFT_2'!$AU:$AU,'Сравнение Рх показателей'!$A14,'PL OFT_2'!F:F)</f>
        <v>22173663.8763377</v>
      </c>
      <c r="F14" s="397">
        <f>SUM(C14:E14)</f>
        <v>45141345.538116008</v>
      </c>
      <c r="H14" s="441">
        <f>83072620.56-H28</f>
        <v>80910435.070000008</v>
      </c>
      <c r="I14" s="553"/>
    </row>
    <row r="15" spans="1:10" s="369" customFormat="1" ht="27.75" customHeight="1">
      <c r="A15" s="390"/>
      <c r="B15" s="391" t="str">
        <f>CONCATENATE(" ","% влияние на рентабельность")</f>
        <v xml:space="preserve"> % влияние на рентабельность</v>
      </c>
      <c r="C15" s="405">
        <f>C14/$C$3</f>
        <v>3.1803946351339173E-2</v>
      </c>
      <c r="D15" s="404">
        <f>D14/$D$3</f>
        <v>3.2251998904804638E-2</v>
      </c>
      <c r="E15" s="434">
        <f>E14/$E$3</f>
        <v>3.3714184835271645E-2</v>
      </c>
      <c r="F15" s="403">
        <f>F14/$F$3</f>
        <v>3.2883761011049215E-2</v>
      </c>
      <c r="H15" s="442">
        <f>H14/$H$3</f>
        <v>0.18587813608034984</v>
      </c>
      <c r="I15" s="553">
        <f t="shared" si="1"/>
        <v>0.15362613717554519</v>
      </c>
    </row>
    <row r="16" spans="1:10" s="389" customFormat="1" ht="27.75" customHeight="1">
      <c r="A16" s="384" t="s">
        <v>353</v>
      </c>
      <c r="B16" s="385" t="s">
        <v>404</v>
      </c>
      <c r="C16" s="399">
        <f>SUMIF('PL OFT_2'!$AU:$AU,'Сравнение Рх показателей'!$A16,'PL OFT_2'!D:D)</f>
        <v>79612646.729984701</v>
      </c>
      <c r="D16" s="398">
        <f>SUMIF('PL OFT_2'!$AU:$AU,'Сравнение Рх показателей'!$A16,'PL OFT_2'!E:E)</f>
        <v>87573911.402983189</v>
      </c>
      <c r="E16" s="433">
        <f>SUMIF('PL OFT_2'!$AU:$AU,'Сравнение Рх показателей'!$A16,'PL OFT_2'!F:F)</f>
        <v>96331302.543281496</v>
      </c>
      <c r="F16" s="397">
        <f>SUM(C16:E16)</f>
        <v>263517860.67624938</v>
      </c>
      <c r="H16" s="441">
        <f>50733342.19-H36</f>
        <v>50352327.789999999</v>
      </c>
      <c r="I16" s="553"/>
    </row>
    <row r="17" spans="1:11" s="369" customFormat="1" ht="27.75" customHeight="1">
      <c r="A17" s="390"/>
      <c r="B17" s="391" t="str">
        <f>CONCATENATE(" ","% влияние на рентабельность")</f>
        <v xml:space="preserve"> % влияние на рентабельность</v>
      </c>
      <c r="C17" s="405">
        <f>C16/$C$3</f>
        <v>0.37779346392903324</v>
      </c>
      <c r="D17" s="404">
        <f>D16/$D$3</f>
        <v>0.17364442741244984</v>
      </c>
      <c r="E17" s="434">
        <f>E16/$E$3</f>
        <v>0.14646796115785063</v>
      </c>
      <c r="F17" s="403">
        <f>F16/$F$3</f>
        <v>0.19196278377001175</v>
      </c>
      <c r="H17" s="442">
        <f>H16/$H$3</f>
        <v>0.11567601668208406</v>
      </c>
      <c r="I17" s="554">
        <f t="shared" si="1"/>
        <v>-5.796841073036578E-2</v>
      </c>
    </row>
    <row r="18" spans="1:11" ht="27.75" customHeight="1">
      <c r="A18" s="446"/>
      <c r="B18" s="447" t="s">
        <v>398</v>
      </c>
      <c r="C18" s="448">
        <v>1504</v>
      </c>
      <c r="D18" s="449">
        <v>1504</v>
      </c>
      <c r="E18" s="450">
        <v>1504</v>
      </c>
      <c r="F18" s="451">
        <v>1504</v>
      </c>
      <c r="H18" s="542">
        <v>1503.1</v>
      </c>
      <c r="I18" s="553"/>
    </row>
    <row r="19" spans="1:11" ht="27.75" customHeight="1">
      <c r="A19" s="446"/>
      <c r="B19" s="447" t="s">
        <v>399</v>
      </c>
      <c r="C19" s="538">
        <f>C16/C18</f>
        <v>52933.940644936636</v>
      </c>
      <c r="D19" s="539">
        <f t="shared" ref="D19:H19" si="2">D16/D18</f>
        <v>58227.33470943031</v>
      </c>
      <c r="E19" s="540">
        <f t="shared" si="2"/>
        <v>64050.068180373331</v>
      </c>
      <c r="F19" s="541">
        <f>F16/F18/3</f>
        <v>58403.781178246754</v>
      </c>
      <c r="H19" s="543">
        <f t="shared" si="2"/>
        <v>33498.987286275034</v>
      </c>
      <c r="I19" s="553"/>
      <c r="J19" s="545" t="s">
        <v>423</v>
      </c>
      <c r="K19" s="544">
        <f>3206330/1356.7</f>
        <v>2363.3301393086163</v>
      </c>
    </row>
    <row r="20" spans="1:11" s="389" customFormat="1" ht="27.75" customHeight="1">
      <c r="A20" s="384" t="s">
        <v>354</v>
      </c>
      <c r="B20" s="385" t="s">
        <v>405</v>
      </c>
      <c r="C20" s="399">
        <f>SUMIF('PL OFT_2'!$AU:$AU,'Сравнение Рх показателей'!$A20,'PL OFT_2'!D:D)</f>
        <v>12000000</v>
      </c>
      <c r="D20" s="398">
        <f>SUMIF('PL OFT_2'!$AU:$AU,'Сравнение Рх показателей'!$A20,'PL OFT_2'!E:E)</f>
        <v>13200000</v>
      </c>
      <c r="E20" s="433">
        <f>SUMIF('PL OFT_2'!$AU:$AU,'Сравнение Рх показателей'!$A20,'PL OFT_2'!F:F)</f>
        <v>14520000</v>
      </c>
      <c r="F20" s="397">
        <f>SUM(C20:E20)</f>
        <v>39720000</v>
      </c>
      <c r="H20" s="441">
        <v>39526826.989999995</v>
      </c>
      <c r="I20" s="553"/>
      <c r="J20" s="545" t="s">
        <v>411</v>
      </c>
    </row>
    <row r="21" spans="1:11" s="369" customFormat="1" ht="27.75" customHeight="1">
      <c r="A21" s="390"/>
      <c r="B21" s="391" t="str">
        <f>CONCATENATE(" ","% влияние на рентабельность")</f>
        <v xml:space="preserve"> % влияние на рентабельность</v>
      </c>
      <c r="C21" s="405">
        <f>C20/$C$3</f>
        <v>5.6944741235954006E-2</v>
      </c>
      <c r="D21" s="404">
        <f>D20/$D$3</f>
        <v>2.6173393481272067E-2</v>
      </c>
      <c r="E21" s="434">
        <f>E20/$E$3</f>
        <v>2.2077089584213415E-2</v>
      </c>
      <c r="F21" s="403">
        <f>F20/$F$3</f>
        <v>2.8934516058144667E-2</v>
      </c>
      <c r="H21" s="442">
        <f>H20/$H$3</f>
        <v>9.0806246681472247E-2</v>
      </c>
      <c r="I21" s="554">
        <f t="shared" si="1"/>
        <v>6.463285320020018E-2</v>
      </c>
    </row>
    <row r="22" spans="1:11" s="389" customFormat="1" ht="27.75" customHeight="1">
      <c r="A22" s="384" t="s">
        <v>355</v>
      </c>
      <c r="B22" s="385" t="s">
        <v>406</v>
      </c>
      <c r="C22" s="399">
        <f>SUMIF('PL OFT_2'!$AU:$AU,'Сравнение Рх показателей'!$A22,'PL OFT_2'!D:D)</f>
        <v>0</v>
      </c>
      <c r="D22" s="398">
        <f>SUMIF('PL OFT_2'!$AU:$AU,'Сравнение Рх показателей'!$A22,'PL OFT_2'!E:E)</f>
        <v>0</v>
      </c>
      <c r="E22" s="433">
        <f>SUMIF('PL OFT_2'!$AU:$AU,'Сравнение Рх показателей'!$A22,'PL OFT_2'!F:F)</f>
        <v>0</v>
      </c>
      <c r="F22" s="397">
        <f>SUM(C22:E22)</f>
        <v>0</v>
      </c>
      <c r="H22" s="441">
        <v>1050</v>
      </c>
      <c r="I22" s="553"/>
    </row>
    <row r="23" spans="1:11" s="369" customFormat="1" ht="27.75" customHeight="1">
      <c r="A23" s="390"/>
      <c r="B23" s="391" t="str">
        <f>CONCATENATE(" ","% влияние на рентабельность")</f>
        <v xml:space="preserve"> % влияние на рентабельность</v>
      </c>
      <c r="C23" s="405">
        <f>C22/$C$3</f>
        <v>0</v>
      </c>
      <c r="D23" s="404">
        <f>D22/$D$3</f>
        <v>0</v>
      </c>
      <c r="E23" s="434">
        <f>E22/$E$3</f>
        <v>0</v>
      </c>
      <c r="F23" s="403">
        <f>F22/$F$3</f>
        <v>0</v>
      </c>
      <c r="H23" s="442">
        <f>H22/$H$3</f>
        <v>2.4121986578803265E-6</v>
      </c>
      <c r="I23" s="553">
        <f t="shared" si="1"/>
        <v>2.4121986578803265E-6</v>
      </c>
    </row>
    <row r="24" spans="1:11" s="389" customFormat="1" ht="27.75" customHeight="1">
      <c r="A24" s="384" t="s">
        <v>356</v>
      </c>
      <c r="B24" s="385" t="s">
        <v>407</v>
      </c>
      <c r="C24" s="399">
        <f>SUMIF('PL OFT_2'!$AU:$AU,'Сравнение Рх показателей'!$A24,'PL OFT_2'!D:D)</f>
        <v>3371999.9999999995</v>
      </c>
      <c r="D24" s="398">
        <f>SUMIF('PL OFT_2'!$AU:$AU,'Сравнение Рх показателей'!$A24,'PL OFT_2'!E:E)</f>
        <v>3709200</v>
      </c>
      <c r="E24" s="433">
        <f>SUMIF('PL OFT_2'!$AU:$AU,'Сравнение Рх показателей'!$A24,'PL OFT_2'!F:F)</f>
        <v>4250444.750374862</v>
      </c>
      <c r="F24" s="397">
        <f>SUM(C24:E24)</f>
        <v>11331644.750374861</v>
      </c>
      <c r="H24" s="441">
        <f>24514069.26-H26-21000000</f>
        <v>2372167.620000001</v>
      </c>
      <c r="I24" s="553"/>
    </row>
    <row r="25" spans="1:11" s="369" customFormat="1" ht="27.75" customHeight="1">
      <c r="A25" s="390"/>
      <c r="B25" s="391" t="str">
        <f>CONCATENATE(" ","% влияние на рентабельность")</f>
        <v xml:space="preserve"> % влияние на рентабельность</v>
      </c>
      <c r="C25" s="405">
        <f>C24/$C$3</f>
        <v>1.6001472287303073E-2</v>
      </c>
      <c r="D25" s="404">
        <f>D24/$D$3</f>
        <v>7.3547235682374515E-3</v>
      </c>
      <c r="E25" s="434">
        <f>E24/$E$3</f>
        <v>6.4626342649294387E-3</v>
      </c>
      <c r="F25" s="403">
        <f>F24/$F$3</f>
        <v>8.2546741438799635E-3</v>
      </c>
      <c r="H25" s="442">
        <f>H24/$H$3</f>
        <v>5.4496567135534964E-3</v>
      </c>
      <c r="I25" s="554">
        <f t="shared" si="1"/>
        <v>-1.9050668546839551E-3</v>
      </c>
      <c r="J25" s="452"/>
    </row>
    <row r="26" spans="1:11" s="389" customFormat="1" ht="27.75" customHeight="1">
      <c r="A26" s="384" t="s">
        <v>357</v>
      </c>
      <c r="B26" s="385" t="s">
        <v>6</v>
      </c>
      <c r="C26" s="399">
        <f>SUMIF('PL OFT_2'!$AU:$AU,'Сравнение Рх показателей'!$A26,'PL OFT_2'!D:D)</f>
        <v>974337.94880000025</v>
      </c>
      <c r="D26" s="398">
        <f>SUMIF('PL OFT_2'!$AU:$AU,'Сравнение Рх показателей'!$A26,'PL OFT_2'!E:E)</f>
        <v>1913852.6335999996</v>
      </c>
      <c r="E26" s="433">
        <f>SUMIF('PL OFT_2'!$AU:$AU,'Сравнение Рх показателей'!$A26,'PL OFT_2'!F:F)</f>
        <v>2404625.2415999998</v>
      </c>
      <c r="F26" s="397">
        <f>SUM(C26:E26)</f>
        <v>5292815.8239999991</v>
      </c>
      <c r="H26" s="441">
        <v>1141901.6400000001</v>
      </c>
      <c r="I26" s="553"/>
      <c r="J26" s="452"/>
    </row>
    <row r="27" spans="1:11" s="369" customFormat="1" ht="27.75" customHeight="1">
      <c r="A27" s="408"/>
      <c r="B27" s="391" t="str">
        <f>CONCATENATE(" ","% влияние на рентабельность")</f>
        <v xml:space="preserve"> % влияние на рентабельность</v>
      </c>
      <c r="C27" s="405">
        <f>C26/$C$3</f>
        <v>4.6236185308988513E-3</v>
      </c>
      <c r="D27" s="404">
        <f>D26/$D$3</f>
        <v>3.7948498518470919E-3</v>
      </c>
      <c r="E27" s="434">
        <f>E26/$E$3</f>
        <v>3.6561382145498637E-3</v>
      </c>
      <c r="F27" s="403">
        <f>F26/$F$3</f>
        <v>3.8556159227676277E-3</v>
      </c>
      <c r="H27" s="442">
        <f>H26/$H$3</f>
        <v>2.6233272413708039E-3</v>
      </c>
      <c r="I27" s="553">
        <f t="shared" si="1"/>
        <v>-1.1715226104762879E-3</v>
      </c>
    </row>
    <row r="28" spans="1:11" s="389" customFormat="1" ht="27.75" customHeight="1">
      <c r="A28" s="384" t="s">
        <v>360</v>
      </c>
      <c r="B28" s="385" t="s">
        <v>12</v>
      </c>
      <c r="C28" s="399">
        <f>SUMIF('PL OFT_2'!$AU:$AU,'Сравнение Рх показателей'!$A28,'PL OFT_2'!D:D)</f>
        <v>1890299.9945901635</v>
      </c>
      <c r="D28" s="398">
        <f>SUMIF('PL OFT_2'!$AU:$AU,'Сравнение Рх показателей'!$A28,'PL OFT_2'!E:E)</f>
        <v>2237033.3267213115</v>
      </c>
      <c r="E28" s="433">
        <f>SUMIF('PL OFT_2'!$AU:$AU,'Сравнение Рх показателей'!$A28,'PL OFT_2'!F:F)</f>
        <v>2329099.9932786892</v>
      </c>
      <c r="F28" s="397">
        <f>SUM(C28:E28)</f>
        <v>6456433.3145901635</v>
      </c>
      <c r="H28" s="441">
        <v>2162185.4900000002</v>
      </c>
      <c r="I28" s="553"/>
    </row>
    <row r="29" spans="1:11" s="369" customFormat="1" ht="27.75" customHeight="1">
      <c r="A29" s="408"/>
      <c r="B29" s="391" t="str">
        <f>CONCATENATE(" ","% влияние на рентабельность")</f>
        <v xml:space="preserve"> % влияние на рентабельность</v>
      </c>
      <c r="C29" s="405">
        <f>C28/$C$3</f>
        <v>8.970220337521843E-3</v>
      </c>
      <c r="D29" s="404">
        <f>D28/$D$3</f>
        <v>4.4356631432572683E-3</v>
      </c>
      <c r="E29" s="434">
        <f>E28/$E$3</f>
        <v>3.5413050414741377E-3</v>
      </c>
      <c r="F29" s="403">
        <f>F28/$F$3</f>
        <v>4.7032672059252089E-3</v>
      </c>
      <c r="H29" s="442">
        <f>H28/$H$3</f>
        <v>4.9672580353012537E-3</v>
      </c>
      <c r="I29" s="553">
        <f t="shared" si="1"/>
        <v>5.3159489204398537E-4</v>
      </c>
    </row>
    <row r="30" spans="1:11" ht="27.75" customHeight="1">
      <c r="A30" s="446"/>
      <c r="B30" s="447" t="s">
        <v>400</v>
      </c>
      <c r="C30" s="448">
        <f>'Сравнение Рх показателей'!C51</f>
        <v>49.5</v>
      </c>
      <c r="D30" s="449">
        <f>'Сравнение Рх показателей'!D51</f>
        <v>60.5</v>
      </c>
      <c r="E30" s="450">
        <f>'Сравнение Рх показателей'!E51</f>
        <v>61.5</v>
      </c>
      <c r="F30" s="451">
        <f>AVERAGE(C30:E30)</f>
        <v>57.166666666666664</v>
      </c>
      <c r="H30" s="542">
        <v>61</v>
      </c>
      <c r="I30" s="553"/>
    </row>
    <row r="31" spans="1:11" ht="27.75" customHeight="1">
      <c r="A31" s="446"/>
      <c r="B31" s="447" t="s">
        <v>401</v>
      </c>
      <c r="C31" s="538">
        <f>C28/C30</f>
        <v>38187.878678589164</v>
      </c>
      <c r="D31" s="539">
        <f>D28/D30</f>
        <v>36975.757466467956</v>
      </c>
      <c r="E31" s="540">
        <f>E28/E30</f>
        <v>37871.544606157549</v>
      </c>
      <c r="F31" s="541">
        <f>F28/F30/3</f>
        <v>37646.841484490753</v>
      </c>
      <c r="H31" s="543">
        <f>H28/H30</f>
        <v>35445.66377049181</v>
      </c>
      <c r="I31" s="553"/>
      <c r="J31" s="452"/>
    </row>
    <row r="32" spans="1:11" s="389" customFormat="1" ht="27.75" customHeight="1">
      <c r="A32" s="384" t="s">
        <v>361</v>
      </c>
      <c r="B32" s="385" t="s">
        <v>7</v>
      </c>
      <c r="C32" s="399">
        <f>SUMIF('PL OFT_2'!$AU:$AU,'Сравнение Рх показателей'!$A32,'PL OFT_2'!D:D)</f>
        <v>2400000</v>
      </c>
      <c r="D32" s="398">
        <f>SUMIF('PL OFT_2'!$AU:$AU,'Сравнение Рх показателей'!$A32,'PL OFT_2'!E:E)</f>
        <v>2640000.0000000005</v>
      </c>
      <c r="E32" s="433">
        <f>SUMIF('PL OFT_2'!$AU:$AU,'Сравнение Рх показателей'!$A32,'PL OFT_2'!F:F)</f>
        <v>2904000.0000000005</v>
      </c>
      <c r="F32" s="397">
        <f>SUM(C32:E32)</f>
        <v>7944000</v>
      </c>
      <c r="H32" s="441">
        <f>2840735.56</f>
        <v>2840735.56</v>
      </c>
      <c r="I32" s="553"/>
    </row>
    <row r="33" spans="1:10" s="369" customFormat="1" ht="27.75" customHeight="1">
      <c r="A33" s="408"/>
      <c r="B33" s="391" t="str">
        <f>CONCATENATE(" ","% влияние на рентабельность")</f>
        <v xml:space="preserve"> % влияние на рентабельность</v>
      </c>
      <c r="C33" s="405">
        <f>C32/$C$3</f>
        <v>1.13889482471908E-2</v>
      </c>
      <c r="D33" s="404">
        <f>D32/$D$3</f>
        <v>5.2346786962544148E-3</v>
      </c>
      <c r="E33" s="434">
        <f>E32/$E$3</f>
        <v>4.4154179168426838E-3</v>
      </c>
      <c r="F33" s="403">
        <f>F32/$F$3</f>
        <v>5.7869032116289335E-3</v>
      </c>
      <c r="H33" s="442">
        <f>H32/$H$3</f>
        <v>6.5261128621189697E-3</v>
      </c>
      <c r="I33" s="553">
        <f t="shared" si="1"/>
        <v>1.2914341658645549E-3</v>
      </c>
    </row>
    <row r="34" spans="1:10" s="389" customFormat="1" ht="27.75" customHeight="1">
      <c r="A34" s="384" t="s">
        <v>362</v>
      </c>
      <c r="B34" s="385" t="s">
        <v>225</v>
      </c>
      <c r="C34" s="399">
        <f>SUMIF('PL OFT_2'!$AU:$AU,'Сравнение Рх показателей'!$A34,'PL OFT_2'!D:D)</f>
        <v>144000</v>
      </c>
      <c r="D34" s="398">
        <f>SUMIF('PL OFT_2'!$AU:$AU,'Сравнение Рх показателей'!$A34,'PL OFT_2'!E:E)</f>
        <v>158400.00000000003</v>
      </c>
      <c r="E34" s="433">
        <f>SUMIF('PL OFT_2'!$AU:$AU,'Сравнение Рх показателей'!$A34,'PL OFT_2'!F:F)</f>
        <v>174240.00000000003</v>
      </c>
      <c r="F34" s="397">
        <f>SUM(C34:E34)</f>
        <v>476640</v>
      </c>
      <c r="H34" s="441">
        <v>142867.56</v>
      </c>
      <c r="I34" s="553"/>
    </row>
    <row r="35" spans="1:10" s="369" customFormat="1" ht="27.75" customHeight="1">
      <c r="A35" s="408"/>
      <c r="B35" s="391" t="str">
        <f>CONCATENATE(" ","% влияние на рентабельность")</f>
        <v xml:space="preserve"> % влияние на рентабельность</v>
      </c>
      <c r="C35" s="405">
        <f>C34/$C$3</f>
        <v>6.8333689483144808E-4</v>
      </c>
      <c r="D35" s="404">
        <f>D34/$D$3</f>
        <v>3.1408072177526488E-4</v>
      </c>
      <c r="E35" s="434">
        <f>E34/$E$3</f>
        <v>2.6492507501056102E-4</v>
      </c>
      <c r="F35" s="403">
        <f>F34/$F$3</f>
        <v>3.4721419269773601E-4</v>
      </c>
      <c r="H35" s="442">
        <f>H34/$H$3</f>
        <v>3.2821422522536859E-4</v>
      </c>
      <c r="I35" s="553">
        <f t="shared" si="1"/>
        <v>1.4133503450103704E-5</v>
      </c>
    </row>
    <row r="36" spans="1:10" s="389" customFormat="1" ht="27.75" customHeight="1">
      <c r="A36" s="384" t="s">
        <v>365</v>
      </c>
      <c r="B36" s="385" t="s">
        <v>11</v>
      </c>
      <c r="C36" s="399">
        <f>SUMIF('PL OFT_2'!$AU:$AU,'Сравнение Рх показателей'!$A36,'PL OFT_2'!D:D)</f>
        <v>381014.40000000008</v>
      </c>
      <c r="D36" s="398">
        <f>SUMIF('PL OFT_2'!$AU:$AU,'Сравнение Рх показателей'!$A36,'PL OFT_2'!E:E)</f>
        <v>381014.40000000008</v>
      </c>
      <c r="E36" s="433">
        <f>SUMIF('PL OFT_2'!$AU:$AU,'Сравнение Рх показателей'!$A36,'PL OFT_2'!F:F)</f>
        <v>381014.40000000008</v>
      </c>
      <c r="F36" s="397">
        <f>SUM(C36:E36)</f>
        <v>1143043.2000000002</v>
      </c>
      <c r="H36" s="441">
        <v>381014.39999999997</v>
      </c>
      <c r="I36" s="553">
        <f t="shared" si="1"/>
        <v>0</v>
      </c>
    </row>
    <row r="37" spans="1:10" s="369" customFormat="1" ht="27.75" customHeight="1">
      <c r="A37" s="408"/>
      <c r="B37" s="391" t="str">
        <f>CONCATENATE(" ","% влияние на рентабельность")</f>
        <v xml:space="preserve"> % влияние на рентабельность</v>
      </c>
      <c r="C37" s="405">
        <f>C36/$C$3</f>
        <v>1.8080638679310232E-3</v>
      </c>
      <c r="D37" s="404">
        <f>D36/$D$3</f>
        <v>7.5548786463869625E-4</v>
      </c>
      <c r="E37" s="434">
        <f>E36/$E$3</f>
        <v>5.7931742711262574E-4</v>
      </c>
      <c r="F37" s="403">
        <f>F36/$F$3</f>
        <v>8.3266369147918108E-4</v>
      </c>
      <c r="H37" s="442">
        <f>H36/$H$3</f>
        <v>8.7531659458388365E-4</v>
      </c>
      <c r="I37" s="553">
        <f t="shared" si="1"/>
        <v>1.198287299451874E-4</v>
      </c>
    </row>
    <row r="38" spans="1:10" s="389" customFormat="1" ht="27.75" customHeight="1">
      <c r="A38" s="384" t="s">
        <v>364</v>
      </c>
      <c r="B38" s="385" t="s">
        <v>10</v>
      </c>
      <c r="C38" s="399" t="e">
        <f>SUMIF('PL OFT_2'!$AU:$AU,'Сравнение Рх показателей'!$A38,'PL OFT_2'!D:D)</f>
        <v>#REF!</v>
      </c>
      <c r="D38" s="398" t="e">
        <f>SUMIF('PL OFT_2'!$AU:$AU,'Сравнение Рх показателей'!$A38,'PL OFT_2'!E:E)</f>
        <v>#REF!</v>
      </c>
      <c r="E38" s="433" t="e">
        <f>SUMIF('PL OFT_2'!$AU:$AU,'Сравнение Рх показателей'!$A38,'PL OFT_2'!F:F)</f>
        <v>#REF!</v>
      </c>
      <c r="F38" s="397" t="e">
        <f>SUM(C38:E38)</f>
        <v>#REF!</v>
      </c>
      <c r="H38" s="441">
        <v>2975205.9099999992</v>
      </c>
      <c r="I38" s="553"/>
    </row>
    <row r="39" spans="1:10" s="369" customFormat="1" ht="27.75" customHeight="1">
      <c r="A39" s="408"/>
      <c r="B39" s="391" t="str">
        <f>CONCATENATE(" ","% влияние на рентабельность")</f>
        <v xml:space="preserve"> % влияние на рентабельность</v>
      </c>
      <c r="C39" s="405" t="e">
        <f>C38/$C$3</f>
        <v>#REF!</v>
      </c>
      <c r="D39" s="404" t="e">
        <f>D38/$D$3</f>
        <v>#REF!</v>
      </c>
      <c r="E39" s="434" t="e">
        <f>E38/$E$3</f>
        <v>#REF!</v>
      </c>
      <c r="F39" s="403" t="e">
        <f>F38/$F$3</f>
        <v>#REF!</v>
      </c>
      <c r="H39" s="442">
        <f>H38/$H$3</f>
        <v>6.8350359076377277E-3</v>
      </c>
      <c r="I39" s="553" t="e">
        <f t="shared" si="1"/>
        <v>#REF!</v>
      </c>
    </row>
    <row r="40" spans="1:10" s="389" customFormat="1" ht="27.75" customHeight="1">
      <c r="A40" s="384" t="s">
        <v>366</v>
      </c>
      <c r="B40" s="385" t="s">
        <v>368</v>
      </c>
      <c r="C40" s="399">
        <f>SUMIF('PL OFT_2'!$AU:$AU,'Сравнение Рх показателей'!$A40,'PL OFT_2'!D:D)</f>
        <v>400580.26875253837</v>
      </c>
      <c r="D40" s="398">
        <f>SUMIF('PL OFT_2'!$AU:$AU,'Сравнение Рх показателей'!$A40,'PL OFT_2'!E:E)</f>
        <v>824933.71898111387</v>
      </c>
      <c r="E40" s="433">
        <f>SUMIF('PL OFT_2'!$AU:$AU,'Сравнение Рх показателей'!$A40,'PL OFT_2'!F:F)</f>
        <v>1046602.4729152896</v>
      </c>
      <c r="F40" s="397">
        <f>SUM(C40:E40)</f>
        <v>2272116.4606489418</v>
      </c>
      <c r="H40" s="441">
        <v>1798782.75</v>
      </c>
      <c r="I40" s="553"/>
    </row>
    <row r="41" spans="1:10" s="369" customFormat="1" ht="27.75" customHeight="1">
      <c r="A41" s="408"/>
      <c r="B41" s="391" t="str">
        <f>CONCATENATE(" ","% влияние на рентабельность")</f>
        <v xml:space="preserve"> % влияние на рентабельность</v>
      </c>
      <c r="C41" s="405">
        <f>C40/$C$3</f>
        <v>1.9009116456951841E-3</v>
      </c>
      <c r="D41" s="404">
        <f>D40/$D$3</f>
        <v>1.6357056683986219E-3</v>
      </c>
      <c r="E41" s="434">
        <f>E40/$E$3</f>
        <v>1.5913179444635083E-3</v>
      </c>
      <c r="F41" s="403">
        <f>F40/$F$3</f>
        <v>1.6551508110931932E-3</v>
      </c>
      <c r="H41" s="442">
        <f>H40/$H$3</f>
        <v>4.1324012717793169E-3</v>
      </c>
      <c r="I41" s="553">
        <f t="shared" si="1"/>
        <v>2.496695603380695E-3</v>
      </c>
    </row>
    <row r="42" spans="1:10" s="389" customFormat="1" ht="27.75" customHeight="1">
      <c r="A42" s="384" t="s">
        <v>367</v>
      </c>
      <c r="B42" s="385" t="s">
        <v>13</v>
      </c>
      <c r="C42" s="399">
        <f>SUMIF('PL OFT_2'!$AU:$AU,'Сравнение Рх показателей'!$A42,'PL OFT_2'!D:D)</f>
        <v>2107306.0900000003</v>
      </c>
      <c r="D42" s="398">
        <f>SUMIF('PL OFT_2'!$AU:$AU,'Сравнение Рх показателей'!$A42,'PL OFT_2'!E:E)</f>
        <v>4863145.2950000009</v>
      </c>
      <c r="E42" s="433">
        <f>SUMIF('PL OFT_2'!$AU:$AU,'Сравнение Рх показателей'!$A42,'PL OFT_2'!F:F)</f>
        <v>6478159.2590000015</v>
      </c>
      <c r="F42" s="397">
        <f>SUM(C42:E42)</f>
        <v>13448610.644000003</v>
      </c>
      <c r="H42" s="441">
        <f>182907.74+4534997.69</f>
        <v>4717905.4300000006</v>
      </c>
      <c r="I42" s="553"/>
      <c r="J42" s="452"/>
    </row>
    <row r="43" spans="1:10" s="369" customFormat="1" ht="27.75" customHeight="1">
      <c r="A43" s="408"/>
      <c r="B43" s="391" t="str">
        <f>CONCATENATE(" ","% влияние на рентабельность")</f>
        <v xml:space="preserve"> % влияние на рентабельность</v>
      </c>
      <c r="C43" s="405">
        <f>C42/$C$3</f>
        <v>1.0000000000000002E-2</v>
      </c>
      <c r="D43" s="404">
        <f>D42/$D$3</f>
        <v>9.6428041941387845E-3</v>
      </c>
      <c r="E43" s="434">
        <f>E42/$E$3</f>
        <v>9.8497866598997678E-3</v>
      </c>
      <c r="F43" s="403">
        <f>F42/$F$3</f>
        <v>9.7968036414540129E-3</v>
      </c>
      <c r="H43" s="442">
        <f>H42/$H$3</f>
        <v>1.0838595377383149E-2</v>
      </c>
      <c r="I43" s="553">
        <f t="shared" si="1"/>
        <v>1.195791183244364E-3</v>
      </c>
    </row>
    <row r="44" spans="1:10" s="389" customFormat="1" ht="27.75" customHeight="1">
      <c r="A44" s="384" t="s">
        <v>363</v>
      </c>
      <c r="B44" s="385" t="s">
        <v>138</v>
      </c>
      <c r="C44" s="399" t="e">
        <f>SUMIF('PL OFT_2'!$AU:$AU,'Сравнение Рх показателей'!$A44,'PL OFT_2'!D:D)</f>
        <v>#REF!</v>
      </c>
      <c r="D44" s="398" t="e">
        <f>SUMIF('PL OFT_2'!$AU:$AU,'Сравнение Рх показателей'!$A44,'PL OFT_2'!E:E)</f>
        <v>#REF!</v>
      </c>
      <c r="E44" s="433" t="e">
        <f>SUMIF('PL OFT_2'!$AU:$AU,'Сравнение Рх показателей'!$A44,'PL OFT_2'!F:F)</f>
        <v>#REF!</v>
      </c>
      <c r="F44" s="397" t="e">
        <f>SUM(C44:E44)</f>
        <v>#REF!</v>
      </c>
      <c r="H44" s="441">
        <f>84263799.36+21000000</f>
        <v>105263799.36</v>
      </c>
      <c r="I44" s="553"/>
    </row>
    <row r="45" spans="1:10" s="369" customFormat="1" ht="27.75" customHeight="1" thickBot="1">
      <c r="A45" s="408"/>
      <c r="B45" s="391" t="s">
        <v>358</v>
      </c>
      <c r="C45" s="405" t="e">
        <f>C44/$C$3</f>
        <v>#REF!</v>
      </c>
      <c r="D45" s="404" t="e">
        <f>D44/$D$3</f>
        <v>#REF!</v>
      </c>
      <c r="E45" s="434" t="e">
        <f>E44/$E$3</f>
        <v>#REF!</v>
      </c>
      <c r="F45" s="436" t="e">
        <f>F44/$F$3</f>
        <v>#REF!</v>
      </c>
      <c r="H45" s="442">
        <f>H44/$H$3</f>
        <v>0.24182590051388189</v>
      </c>
      <c r="I45" s="553" t="e">
        <f>H45-D45</f>
        <v>#REF!</v>
      </c>
    </row>
    <row r="47" spans="1:10" ht="27.75" customHeight="1">
      <c r="B47" s="367" t="s">
        <v>369</v>
      </c>
      <c r="C47" s="416" t="e">
        <f>C3-SUM(C16,C20,C22,C24,C26,C28,C32,C34,C36,C38,C40,C42,C14,C4)-C44</f>
        <v>#REF!</v>
      </c>
      <c r="D47" s="416" t="e">
        <f t="shared" ref="D47:F47" si="3">D3-SUM(D16,D20,D22,D24,D26,D28,D32,D34,D36,D38,D40,D42,D14,D4)-D44</f>
        <v>#REF!</v>
      </c>
      <c r="E47" s="416" t="e">
        <f t="shared" si="3"/>
        <v>#REF!</v>
      </c>
      <c r="F47" s="416" t="e">
        <f t="shared" si="3"/>
        <v>#REF!</v>
      </c>
      <c r="G47" s="416"/>
      <c r="H47" s="443">
        <f>H3-SUM(H16,H20,H22,H24,H26,H28,H32,H34,H36,H38,H40,H42,H14,H4)-H44</f>
        <v>0</v>
      </c>
    </row>
    <row r="48" spans="1:10" ht="27.75" customHeight="1">
      <c r="C48" s="410"/>
      <c r="D48" s="410"/>
      <c r="E48" s="410"/>
      <c r="H48" s="444"/>
    </row>
    <row r="49" spans="1:8" ht="27.75" customHeight="1" thickBot="1">
      <c r="B49" s="368"/>
      <c r="C49" s="373" t="str">
        <f>C1</f>
        <v>Москва</v>
      </c>
      <c r="D49" s="373" t="str">
        <f t="shared" ref="D49:E49" si="4">D1</f>
        <v>Москва</v>
      </c>
      <c r="E49" s="373" t="str">
        <f t="shared" si="4"/>
        <v>Москва</v>
      </c>
      <c r="H49" s="444"/>
    </row>
    <row r="50" spans="1:8" ht="27.75" customHeight="1" thickTop="1">
      <c r="A50" s="372"/>
      <c r="B50" s="373" t="s">
        <v>371</v>
      </c>
      <c r="C50" s="375" t="s">
        <v>14</v>
      </c>
      <c r="D50" s="376" t="s">
        <v>15</v>
      </c>
      <c r="E50" s="377" t="s">
        <v>16</v>
      </c>
      <c r="H50" s="444"/>
    </row>
    <row r="51" spans="1:8" ht="27.75" customHeight="1">
      <c r="A51" s="417"/>
      <c r="B51" s="418"/>
      <c r="C51" s="419">
        <f>SUM(C52:C210)</f>
        <v>49.5</v>
      </c>
      <c r="D51" s="419">
        <f t="shared" ref="D51:E51" si="5">SUM(D52:D210)</f>
        <v>60.5</v>
      </c>
      <c r="E51" s="419">
        <f t="shared" si="5"/>
        <v>61.5</v>
      </c>
      <c r="H51" s="444"/>
    </row>
    <row r="52" spans="1:8" ht="27.75" customHeight="1">
      <c r="A52" s="412" t="s">
        <v>311</v>
      </c>
      <c r="B52" s="413" t="s">
        <v>303</v>
      </c>
      <c r="C52" s="422">
        <f>SUMIFS(Payroll_OFT_2!C:C,Payroll_OFT_2!$A:$A,'Сравнение Рх показателей'!$A52,Payroll_OFT_2!$B:$B,'Сравнение Рх показателей'!$B52)</f>
        <v>0.5</v>
      </c>
      <c r="D52" s="422">
        <f>SUMIFS(Payroll_OFT_2!D:D,Payroll_OFT_2!$A:$A,'Сравнение Рх показателей'!$A52,Payroll_OFT_2!$B:$B,'Сравнение Рх показателей'!$B52)</f>
        <v>0.5</v>
      </c>
      <c r="E52" s="422">
        <f>SUMIFS(Payroll_OFT_2!E:E,Payroll_OFT_2!$A:$A,'Сравнение Рх показателей'!$A52,Payroll_OFT_2!$B:$B,'Сравнение Рх показателей'!$B52)</f>
        <v>0.5</v>
      </c>
      <c r="H52" s="444"/>
    </row>
    <row r="53" spans="1:8" ht="27.75" customHeight="1">
      <c r="A53" s="412" t="s">
        <v>311</v>
      </c>
      <c r="B53" s="413" t="s">
        <v>374</v>
      </c>
      <c r="C53" s="422">
        <f>SUMIFS(Payroll_OFT_2!C:C,Payroll_OFT_2!$A:$A,'Сравнение Рх показателей'!$A53,Payroll_OFT_2!$B:$B,'Сравнение Рх показателей'!$B53)</f>
        <v>1</v>
      </c>
      <c r="D53" s="422">
        <f>SUMIFS(Payroll_OFT_2!D:D,Payroll_OFT_2!$A:$A,'Сравнение Рх показателей'!$A53,Payroll_OFT_2!$B:$B,'Сравнение Рх показателей'!$B53)</f>
        <v>1</v>
      </c>
      <c r="E53" s="422">
        <f>SUMIFS(Payroll_OFT_2!E:E,Payroll_OFT_2!$A:$A,'Сравнение Рх показателей'!$A53,Payroll_OFT_2!$B:$B,'Сравнение Рх показателей'!$B53)</f>
        <v>1</v>
      </c>
      <c r="H53" s="444"/>
    </row>
    <row r="54" spans="1:8" ht="27.75" customHeight="1">
      <c r="A54" s="412" t="s">
        <v>311</v>
      </c>
      <c r="B54" s="413" t="s">
        <v>395</v>
      </c>
      <c r="C54" s="422">
        <f>SUMIFS(Payroll_OFT_2!C:C,Payroll_OFT_2!$A:$A,'Сравнение Рх показателей'!$A54,Payroll_OFT_2!$B:$B,'Сравнение Рх показателей'!$B54)</f>
        <v>1</v>
      </c>
      <c r="D54" s="422">
        <f>SUMIFS(Payroll_OFT_2!D:D,Payroll_OFT_2!$A:$A,'Сравнение Рх показателей'!$A54,Payroll_OFT_2!$B:$B,'Сравнение Рх показателей'!$B54)</f>
        <v>1</v>
      </c>
      <c r="E54" s="422">
        <f>SUMIFS(Payroll_OFT_2!E:E,Payroll_OFT_2!$A:$A,'Сравнение Рх показателей'!$A54,Payroll_OFT_2!$B:$B,'Сравнение Рх показателей'!$B54)</f>
        <v>1</v>
      </c>
      <c r="H54" s="444"/>
    </row>
    <row r="55" spans="1:8" ht="27.75" customHeight="1">
      <c r="A55" s="412" t="s">
        <v>311</v>
      </c>
      <c r="B55" s="413" t="s">
        <v>396</v>
      </c>
      <c r="C55" s="422">
        <f>SUMIFS(Payroll_OFT_2!C:C,Payroll_OFT_2!$A:$A,'Сравнение Рх показателей'!$A55,Payroll_OFT_2!$B:$B,'Сравнение Рх показателей'!$B55)</f>
        <v>1</v>
      </c>
      <c r="D55" s="422">
        <f>SUMIFS(Payroll_OFT_2!D:D,Payroll_OFT_2!$A:$A,'Сравнение Рх показателей'!$A55,Payroll_OFT_2!$B:$B,'Сравнение Рх показателей'!$B55)</f>
        <v>1</v>
      </c>
      <c r="E55" s="422">
        <f>SUMIFS(Payroll_OFT_2!E:E,Payroll_OFT_2!$A:$A,'Сравнение Рх показателей'!$A55,Payroll_OFT_2!$B:$B,'Сравнение Рх показателей'!$B55)</f>
        <v>1</v>
      </c>
      <c r="H55" s="444"/>
    </row>
    <row r="56" spans="1:8" ht="27.75" customHeight="1">
      <c r="A56" s="412" t="s">
        <v>311</v>
      </c>
      <c r="B56" s="413" t="s">
        <v>394</v>
      </c>
      <c r="C56" s="422">
        <f>SUMIFS(Payroll_OFT_2!C:C,Payroll_OFT_2!$A:$A,'Сравнение Рх показателей'!$A56,Payroll_OFT_2!$B:$B,'Сравнение Рх показателей'!$B56)</f>
        <v>1</v>
      </c>
      <c r="D56" s="422">
        <f>SUMIFS(Payroll_OFT_2!D:D,Payroll_OFT_2!$A:$A,'Сравнение Рх показателей'!$A56,Payroll_OFT_2!$B:$B,'Сравнение Рх показателей'!$B56)</f>
        <v>1</v>
      </c>
      <c r="E56" s="422">
        <f>SUMIFS(Payroll_OFT_2!E:E,Payroll_OFT_2!$A:$A,'Сравнение Рх показателей'!$A56,Payroll_OFT_2!$B:$B,'Сравнение Рх показателей'!$B56)</f>
        <v>1</v>
      </c>
      <c r="H56" s="444"/>
    </row>
    <row r="57" spans="1:8" ht="27.75" customHeight="1">
      <c r="A57" s="412" t="s">
        <v>311</v>
      </c>
      <c r="B57" s="413" t="s">
        <v>393</v>
      </c>
      <c r="C57" s="422">
        <f>SUMIFS(Payroll_OFT_2!C:C,Payroll_OFT_2!$A:$A,'Сравнение Рх показателей'!$A57,Payroll_OFT_2!$B:$B,'Сравнение Рх показателей'!$B57)</f>
        <v>4</v>
      </c>
      <c r="D57" s="422">
        <f>SUMIFS(Payroll_OFT_2!D:D,Payroll_OFT_2!$A:$A,'Сравнение Рх показателей'!$A57,Payroll_OFT_2!$B:$B,'Сравнение Рх показателей'!$B57)</f>
        <v>4</v>
      </c>
      <c r="E57" s="422">
        <f>SUMIFS(Payroll_OFT_2!E:E,Payroll_OFT_2!$A:$A,'Сравнение Рх показателей'!$A57,Payroll_OFT_2!$B:$B,'Сравнение Рх показателей'!$B57)</f>
        <v>4</v>
      </c>
      <c r="H57" s="444"/>
    </row>
    <row r="58" spans="1:8" ht="27.75" customHeight="1">
      <c r="A58" s="412" t="s">
        <v>311</v>
      </c>
      <c r="B58" s="413" t="s">
        <v>308</v>
      </c>
      <c r="C58" s="422">
        <f>SUMIFS(Payroll_OFT_2!C:C,Payroll_OFT_2!$A:$A,'Сравнение Рх показателей'!$A58,Payroll_OFT_2!$B:$B,'Сравнение Рх показателей'!$B58)</f>
        <v>1</v>
      </c>
      <c r="D58" s="422">
        <f>SUMIFS(Payroll_OFT_2!D:D,Payroll_OFT_2!$A:$A,'Сравнение Рх показателей'!$A58,Payroll_OFT_2!$B:$B,'Сравнение Рх показателей'!$B58)</f>
        <v>1</v>
      </c>
      <c r="E58" s="422">
        <f>SUMIFS(Payroll_OFT_2!E:E,Payroll_OFT_2!$A:$A,'Сравнение Рх показателей'!$A58,Payroll_OFT_2!$B:$B,'Сравнение Рх показателей'!$B58)</f>
        <v>1</v>
      </c>
      <c r="H58" s="444"/>
    </row>
    <row r="59" spans="1:8" ht="27.75" customHeight="1">
      <c r="A59" s="412" t="s">
        <v>311</v>
      </c>
      <c r="B59" s="413" t="s">
        <v>340</v>
      </c>
      <c r="C59" s="422">
        <f>SUMIFS(Payroll_OFT_2!C:C,Payroll_OFT_2!$A:$A,'Сравнение Рх показателей'!$A59,Payroll_OFT_2!$B:$B,'Сравнение Рх показателей'!$B59)</f>
        <v>1</v>
      </c>
      <c r="D59" s="422">
        <f>SUMIFS(Payroll_OFT_2!D:D,Payroll_OFT_2!$A:$A,'Сравнение Рх показателей'!$A59,Payroll_OFT_2!$B:$B,'Сравнение Рх показателей'!$B59)</f>
        <v>1</v>
      </c>
      <c r="E59" s="422">
        <f>SUMIFS(Payroll_OFT_2!E:E,Payroll_OFT_2!$A:$A,'Сравнение Рх показателей'!$A59,Payroll_OFT_2!$B:$B,'Сравнение Рх показателей'!$B59)</f>
        <v>1</v>
      </c>
      <c r="H59" s="444"/>
    </row>
    <row r="60" spans="1:8" ht="27.75" customHeight="1">
      <c r="A60" s="423" t="s">
        <v>311</v>
      </c>
      <c r="B60" s="424" t="s">
        <v>309</v>
      </c>
      <c r="C60" s="425">
        <f>SUMIFS(Payroll_OFT_2!C:C,Payroll_OFT_2!$A:$A,'Сравнение Рх показателей'!$A60,Payroll_OFT_2!$B:$B,'Сравнение Рх показателей'!$B60)</f>
        <v>1</v>
      </c>
      <c r="D60" s="425">
        <f>SUMIFS(Payroll_OFT_2!D:D,Payroll_OFT_2!$A:$A,'Сравнение Рх показателей'!$A60,Payroll_OFT_2!$B:$B,'Сравнение Рх показателей'!$B60)</f>
        <v>1</v>
      </c>
      <c r="E60" s="425">
        <f>SUMIFS(Payroll_OFT_2!E:E,Payroll_OFT_2!$A:$A,'Сравнение Рх показателей'!$A60,Payroll_OFT_2!$B:$B,'Сравнение Рх показателей'!$B60)</f>
        <v>1</v>
      </c>
      <c r="H60" s="444"/>
    </row>
    <row r="61" spans="1:8" ht="27.75" customHeight="1">
      <c r="A61" s="426" t="s">
        <v>378</v>
      </c>
      <c r="B61" s="427" t="s">
        <v>372</v>
      </c>
      <c r="C61" s="428">
        <f>SUMIFS(Payroll_OFT_2!C:C,Payroll_OFT_2!$A:$A,'Сравнение Рх показателей'!$A61,Payroll_OFT_2!$B:$B,'Сравнение Рх показателей'!$B61)</f>
        <v>4</v>
      </c>
      <c r="D61" s="428">
        <f>SUMIFS(Payroll_OFT_2!D:D,Payroll_OFT_2!$A:$A,'Сравнение Рх показателей'!$A61,Payroll_OFT_2!$B:$B,'Сравнение Рх показателей'!$B61)</f>
        <v>4</v>
      </c>
      <c r="E61" s="428">
        <f>SUMIFS(Payroll_OFT_2!E:E,Payroll_OFT_2!$A:$A,'Сравнение Рх показателей'!$A61,Payroll_OFT_2!$B:$B,'Сравнение Рх показателей'!$B61)</f>
        <v>4</v>
      </c>
      <c r="H61" s="444"/>
    </row>
    <row r="62" spans="1:8" ht="27.75" customHeight="1">
      <c r="A62" s="423" t="s">
        <v>378</v>
      </c>
      <c r="B62" s="429" t="s">
        <v>375</v>
      </c>
      <c r="C62" s="425">
        <f>SUMIFS(Payroll_OFT_2!C:C,Payroll_OFT_2!$A:$A,'Сравнение Рх показателей'!$A62,Payroll_OFT_2!$B:$B,'Сравнение Рх показателей'!$B62)</f>
        <v>2</v>
      </c>
      <c r="D62" s="425">
        <f>SUMIFS(Payroll_OFT_2!D:D,Payroll_OFT_2!$A:$A,'Сравнение Рх показателей'!$A62,Payroll_OFT_2!$B:$B,'Сравнение Рх показателей'!$B62)</f>
        <v>4</v>
      </c>
      <c r="E62" s="425">
        <f>SUMIFS(Payroll_OFT_2!E:E,Payroll_OFT_2!$A:$A,'Сравнение Рх показателей'!$A62,Payroll_OFT_2!$B:$B,'Сравнение Рх показателей'!$B62)</f>
        <v>4</v>
      </c>
      <c r="H62" s="444"/>
    </row>
    <row r="63" spans="1:8" ht="27.75" customHeight="1">
      <c r="A63" s="412" t="s">
        <v>198</v>
      </c>
      <c r="B63" s="421" t="s">
        <v>372</v>
      </c>
      <c r="C63" s="415">
        <f>SUMIFS(Payroll_OFT_2!C:C,Payroll_OFT_2!$A:$A,'Сравнение Рх показателей'!$A63,Payroll_OFT_2!$B:$B,'Сравнение Рх показателей'!$B63)</f>
        <v>1</v>
      </c>
      <c r="D63" s="415">
        <f>SUMIFS(Payroll_OFT_2!D:D,Payroll_OFT_2!$A:$A,'Сравнение Рх показателей'!$A63,Payroll_OFT_2!$B:$B,'Сравнение Рх показателей'!$B63)</f>
        <v>1</v>
      </c>
      <c r="E63" s="415">
        <f>SUMIFS(Payroll_OFT_2!E:E,Payroll_OFT_2!$A:$A,'Сравнение Рх показателей'!$A63,Payroll_OFT_2!$B:$B,'Сравнение Рх показателей'!$B63)</f>
        <v>2</v>
      </c>
      <c r="H63" s="444"/>
    </row>
    <row r="64" spans="1:8" ht="27.75" customHeight="1">
      <c r="A64" s="412" t="s">
        <v>198</v>
      </c>
      <c r="B64" s="414" t="s">
        <v>375</v>
      </c>
      <c r="C64" s="415">
        <f>SUMIFS(Payroll_OFT_2!C:C,Payroll_OFT_2!$A:$A,'Сравнение Рх показателей'!$A64,Payroll_OFT_2!$B:$B,'Сравнение Рх показателей'!$B64)</f>
        <v>1</v>
      </c>
      <c r="D64" s="415">
        <f>SUMIFS(Payroll_OFT_2!D:D,Payroll_OFT_2!$A:$A,'Сравнение Рх показателей'!$A64,Payroll_OFT_2!$B:$B,'Сравнение Рх показателей'!$B64)</f>
        <v>1</v>
      </c>
      <c r="E64" s="431">
        <f>SUMIFS(Payroll_OFT_2!E:E,Payroll_OFT_2!$A:$A,'Сравнение Рх показателей'!$A64,Payroll_OFT_2!$B:$B,'Сравнение Рх показателей'!$B64)</f>
        <v>1</v>
      </c>
      <c r="H64" s="444"/>
    </row>
    <row r="65" spans="1:8" ht="27.75" customHeight="1">
      <c r="A65" s="423" t="s">
        <v>386</v>
      </c>
      <c r="B65" s="429" t="s">
        <v>375</v>
      </c>
      <c r="C65" s="425">
        <f>SUMIFS(Payroll_OFT_2!C:C,Payroll_OFT_2!$A:$A,'Сравнение Рх показателей'!$A65,Payroll_OFT_2!$B:$B,'Сравнение Рх показателей'!$B65)</f>
        <v>1</v>
      </c>
      <c r="D65" s="425">
        <f>SUMIFS(Payroll_OFT_2!D:D,Payroll_OFT_2!$A:$A,'Сравнение Рх показателей'!$A65,Payroll_OFT_2!$B:$B,'Сравнение Рх показателей'!$B65)</f>
        <v>1</v>
      </c>
      <c r="E65" s="425">
        <f>SUMIFS(Payroll_OFT_2!E:E,Payroll_OFT_2!$A:$A,'Сравнение Рх показателей'!$A65,Payroll_OFT_2!$B:$B,'Сравнение Рх показателей'!$B65)</f>
        <v>1</v>
      </c>
      <c r="H65" s="444"/>
    </row>
    <row r="66" spans="1:8" ht="27.75" customHeight="1">
      <c r="A66" s="412" t="s">
        <v>377</v>
      </c>
      <c r="B66" s="421" t="s">
        <v>372</v>
      </c>
      <c r="C66" s="415">
        <f>SUMIFS(Payroll_OFT_2!C:C,Payroll_OFT_2!$A:$A,'Сравнение Рх показателей'!$A66,Payroll_OFT_2!$B:$B,'Сравнение Рх показателей'!$B66)</f>
        <v>1</v>
      </c>
      <c r="D66" s="415">
        <f>SUMIFS(Payroll_OFT_2!D:D,Payroll_OFT_2!$A:$A,'Сравнение Рх показателей'!$A66,Payroll_OFT_2!$B:$B,'Сравнение Рх показателей'!$B66)</f>
        <v>2</v>
      </c>
      <c r="E66" s="415">
        <f>SUMIFS(Payroll_OFT_2!E:E,Payroll_OFT_2!$A:$A,'Сравнение Рх показателей'!$A66,Payroll_OFT_2!$B:$B,'Сравнение Рх показателей'!$B66)</f>
        <v>2</v>
      </c>
      <c r="H66" s="444"/>
    </row>
    <row r="67" spans="1:8" ht="27.75" customHeight="1">
      <c r="A67" s="423" t="s">
        <v>377</v>
      </c>
      <c r="B67" s="429" t="s">
        <v>375</v>
      </c>
      <c r="C67" s="425">
        <f>SUMIFS(Payroll_OFT_2!C:C,Payroll_OFT_2!$A:$A,'Сравнение Рх показателей'!$A67,Payroll_OFT_2!$B:$B,'Сравнение Рх показателей'!$B67)</f>
        <v>1</v>
      </c>
      <c r="D67" s="425">
        <f>SUMIFS(Payroll_OFT_2!D:D,Payroll_OFT_2!$A:$A,'Сравнение Рх показателей'!$A67,Payroll_OFT_2!$B:$B,'Сравнение Рх показателей'!$B67)</f>
        <v>2</v>
      </c>
      <c r="E67" s="425">
        <f>SUMIFS(Payroll_OFT_2!E:E,Payroll_OFT_2!$A:$A,'Сравнение Рх показателей'!$A67,Payroll_OFT_2!$B:$B,'Сравнение Рх показателей'!$B67)</f>
        <v>2</v>
      </c>
      <c r="H67" s="444"/>
    </row>
    <row r="68" spans="1:8" ht="27.75" customHeight="1">
      <c r="A68" s="412" t="s">
        <v>379</v>
      </c>
      <c r="B68" s="421" t="s">
        <v>382</v>
      </c>
      <c r="C68" s="415">
        <f>SUMIFS(Payroll_OFT_2!C:C,Payroll_OFT_2!$A:$A,'Сравнение Рх показателей'!$A68,Payroll_OFT_2!$B:$B,'Сравнение Рх показателей'!$B68)</f>
        <v>1</v>
      </c>
      <c r="D68" s="415">
        <f>SUMIFS(Payroll_OFT_2!D:D,Payroll_OFT_2!$A:$A,'Сравнение Рх показателей'!$A68,Payroll_OFT_2!$B:$B,'Сравнение Рх показателей'!$B68)</f>
        <v>2</v>
      </c>
      <c r="E68" s="415">
        <f>SUMIFS(Payroll_OFT_2!E:E,Payroll_OFT_2!$A:$A,'Сравнение Рх показателей'!$A68,Payroll_OFT_2!$B:$B,'Сравнение Рх показателей'!$B68)</f>
        <v>2</v>
      </c>
      <c r="H68" s="444"/>
    </row>
    <row r="69" spans="1:8" ht="27.75" customHeight="1">
      <c r="A69" s="412" t="s">
        <v>379</v>
      </c>
      <c r="B69" s="413" t="s">
        <v>375</v>
      </c>
      <c r="C69" s="415">
        <f>SUMIFS(Payroll_OFT_2!C:C,Payroll_OFT_2!$A:$A,'Сравнение Рх показателей'!$A69,Payroll_OFT_2!$B:$B,'Сравнение Рх показателей'!$B69)</f>
        <v>1</v>
      </c>
      <c r="D69" s="415">
        <f>SUMIFS(Payroll_OFT_2!D:D,Payroll_OFT_2!$A:$A,'Сравнение Рх показателей'!$A69,Payroll_OFT_2!$B:$B,'Сравнение Рх показателей'!$B69)</f>
        <v>2</v>
      </c>
      <c r="E69" s="415">
        <f>SUMIFS(Payroll_OFT_2!E:E,Payroll_OFT_2!$A:$A,'Сравнение Рх показателей'!$A69,Payroll_OFT_2!$B:$B,'Сравнение Рх показателей'!$B69)</f>
        <v>2</v>
      </c>
      <c r="H69" s="444"/>
    </row>
    <row r="70" spans="1:8" ht="27.75" customHeight="1">
      <c r="A70" s="423" t="s">
        <v>379</v>
      </c>
      <c r="B70" s="424" t="s">
        <v>387</v>
      </c>
      <c r="C70" s="425">
        <f>SUMIFS(Payroll_OFT_2!C:C,Payroll_OFT_2!$A:$A,'Сравнение Рх показателей'!$A70,Payroll_OFT_2!$B:$B,'Сравнение Рх показателей'!$B70)</f>
        <v>2</v>
      </c>
      <c r="D70" s="425">
        <f>SUMIFS(Payroll_OFT_2!D:D,Payroll_OFT_2!$A:$A,'Сравнение Рх показателей'!$A70,Payroll_OFT_2!$B:$B,'Сравнение Рх показателей'!$B70)</f>
        <v>2</v>
      </c>
      <c r="E70" s="425">
        <f>SUMIFS(Payroll_OFT_2!E:E,Payroll_OFT_2!$A:$A,'Сравнение Рх показателей'!$A70,Payroll_OFT_2!$B:$B,'Сравнение Рх показателей'!$B70)</f>
        <v>2</v>
      </c>
      <c r="H70" s="444"/>
    </row>
    <row r="71" spans="1:8" ht="27.75" customHeight="1">
      <c r="A71" s="412" t="s">
        <v>380</v>
      </c>
      <c r="B71" s="421" t="s">
        <v>382</v>
      </c>
      <c r="C71" s="415">
        <f>SUMIFS(Payroll_OFT_2!C:C,Payroll_OFT_2!$A:$A,'Сравнение Рх показателей'!$A71,Payroll_OFT_2!$B:$B,'Сравнение Рх показателей'!$B71)</f>
        <v>1</v>
      </c>
      <c r="D71" s="415">
        <f>SUMIFS(Payroll_OFT_2!D:D,Payroll_OFT_2!$A:$A,'Сравнение Рх показателей'!$A71,Payroll_OFT_2!$B:$B,'Сравнение Рх показателей'!$B71)</f>
        <v>2</v>
      </c>
      <c r="E71" s="415">
        <f>SUMIFS(Payroll_OFT_2!E:E,Payroll_OFT_2!$A:$A,'Сравнение Рх показателей'!$A71,Payroll_OFT_2!$B:$B,'Сравнение Рх показателей'!$B71)</f>
        <v>2</v>
      </c>
      <c r="H71" s="444"/>
    </row>
    <row r="72" spans="1:8" ht="27.75" customHeight="1">
      <c r="A72" s="423" t="s">
        <v>380</v>
      </c>
      <c r="B72" s="424" t="s">
        <v>375</v>
      </c>
      <c r="C72" s="425">
        <f>SUMIFS(Payroll_OFT_2!C:C,Payroll_OFT_2!$A:$A,'Сравнение Рх показателей'!$A72,Payroll_OFT_2!$B:$B,'Сравнение Рх показателей'!$B72)</f>
        <v>0</v>
      </c>
      <c r="D72" s="425">
        <f>SUMIFS(Payroll_OFT_2!D:D,Payroll_OFT_2!$A:$A,'Сравнение Рх показателей'!$A72,Payroll_OFT_2!$B:$B,'Сравнение Рх показателей'!$B72)</f>
        <v>0</v>
      </c>
      <c r="E72" s="425">
        <f>SUMIFS(Payroll_OFT_2!E:E,Payroll_OFT_2!$A:$A,'Сравнение Рх показателей'!$A72,Payroll_OFT_2!$B:$B,'Сравнение Рх показателей'!$B72)</f>
        <v>0</v>
      </c>
      <c r="H72" s="444"/>
    </row>
    <row r="73" spans="1:8" ht="27.75" customHeight="1">
      <c r="A73" s="426" t="s">
        <v>314</v>
      </c>
      <c r="B73" s="427" t="s">
        <v>372</v>
      </c>
      <c r="C73" s="428">
        <f>SUMIFS(Payroll_OFT_2!C:C,Payroll_OFT_2!$A:$A,'Сравнение Рх показателей'!$A73,Payroll_OFT_2!$B:$B,'Сравнение Рх показателей'!$B73)</f>
        <v>1</v>
      </c>
      <c r="D73" s="428">
        <f>SUMIFS(Payroll_OFT_2!D:D,Payroll_OFT_2!$A:$A,'Сравнение Рх показателей'!$A73,Payroll_OFT_2!$B:$B,'Сравнение Рх показателей'!$B73)</f>
        <v>1</v>
      </c>
      <c r="E73" s="428">
        <f>SUMIFS(Payroll_OFT_2!E:E,Payroll_OFT_2!$A:$A,'Сравнение Рх показателей'!$A73,Payroll_OFT_2!$B:$B,'Сравнение Рх показателей'!$B73)</f>
        <v>1</v>
      </c>
      <c r="H73" s="444"/>
    </row>
    <row r="74" spans="1:8" ht="27.75" customHeight="1">
      <c r="A74" s="423" t="s">
        <v>314</v>
      </c>
      <c r="B74" s="424" t="s">
        <v>375</v>
      </c>
      <c r="C74" s="425">
        <f>SUMIFS(Payroll_OFT_2!C:C,Payroll_OFT_2!$A:$A,'Сравнение Рх показателей'!$A74,Payroll_OFT_2!$B:$B,'Сравнение Рх показателей'!$B74)</f>
        <v>0</v>
      </c>
      <c r="D74" s="425">
        <f>SUMIFS(Payroll_OFT_2!D:D,Payroll_OFT_2!$A:$A,'Сравнение Рх показателей'!$A74,Payroll_OFT_2!$B:$B,'Сравнение Рх показателей'!$B74)</f>
        <v>0</v>
      </c>
      <c r="E74" s="425">
        <f>SUMIFS(Payroll_OFT_2!E:E,Payroll_OFT_2!$A:$A,'Сравнение Рх показателей'!$A74,Payroll_OFT_2!$B:$B,'Сравнение Рх показателей'!$B74)</f>
        <v>0</v>
      </c>
      <c r="H74" s="444"/>
    </row>
    <row r="75" spans="1:8" ht="27.75" customHeight="1">
      <c r="A75" s="412" t="s">
        <v>381</v>
      </c>
      <c r="B75" s="421" t="s">
        <v>372</v>
      </c>
      <c r="C75" s="415">
        <f>SUMIFS(Payroll_OFT_2!C:C,Payroll_OFT_2!$A:$A,'Сравнение Рх показателей'!$A75,Payroll_OFT_2!$B:$B,'Сравнение Рх показателей'!$B75)</f>
        <v>1</v>
      </c>
      <c r="D75" s="415">
        <f>SUMIFS(Payroll_OFT_2!D:D,Payroll_OFT_2!$A:$A,'Сравнение Рх показателей'!$A75,Payroll_OFT_2!$B:$B,'Сравнение Рх показателей'!$B75)</f>
        <v>1</v>
      </c>
      <c r="E75" s="415">
        <f>SUMIFS(Payroll_OFT_2!E:E,Payroll_OFT_2!$A:$A,'Сравнение Рх показателей'!$A75,Payroll_OFT_2!$B:$B,'Сравнение Рх показателей'!$B75)</f>
        <v>1</v>
      </c>
      <c r="H75" s="444"/>
    </row>
    <row r="76" spans="1:8" ht="27.75" customHeight="1">
      <c r="A76" s="423" t="s">
        <v>381</v>
      </c>
      <c r="B76" s="424" t="s">
        <v>375</v>
      </c>
      <c r="C76" s="425">
        <f>SUMIFS(Payroll_OFT_2!C:C,Payroll_OFT_2!$A:$A,'Сравнение Рх показателей'!$A76,Payroll_OFT_2!$B:$B,'Сравнение Рх показателей'!$B76)</f>
        <v>1</v>
      </c>
      <c r="D76" s="430">
        <f>SUMIFS(Payroll_OFT_2!D:D,Payroll_OFT_2!$A:$A,'Сравнение Рх показателей'!$A76,Payroll_OFT_2!$B:$B,'Сравнение Рх показателей'!$B76)</f>
        <v>2</v>
      </c>
      <c r="E76" s="430">
        <f>SUMIFS(Payroll_OFT_2!E:E,Payroll_OFT_2!$A:$A,'Сравнение Рх показателей'!$A76,Payroll_OFT_2!$B:$B,'Сравнение Рх показателей'!$B76)</f>
        <v>2</v>
      </c>
      <c r="H76" s="444"/>
    </row>
    <row r="77" spans="1:8" ht="27.75" customHeight="1">
      <c r="A77" s="412" t="s">
        <v>313</v>
      </c>
      <c r="B77" s="421" t="s">
        <v>304</v>
      </c>
      <c r="C77" s="415">
        <f>SUMIFS(Payroll_OFT_2!C:C,Payroll_OFT_2!$A:$A,'Сравнение Рх показателей'!$A77,Payroll_OFT_2!$B:$B,'Сравнение Рх показателей'!$B77)</f>
        <v>0</v>
      </c>
      <c r="D77" s="415">
        <f>SUMIFS(Payroll_OFT_2!D:D,Payroll_OFT_2!$A:$A,'Сравнение Рх показателей'!$A77,Payroll_OFT_2!$B:$B,'Сравнение Рх показателей'!$B77)</f>
        <v>0</v>
      </c>
      <c r="E77" s="415">
        <f>SUMIFS(Payroll_OFT_2!E:E,Payroll_OFT_2!$A:$A,'Сравнение Рх показателей'!$A77,Payroll_OFT_2!$B:$B,'Сравнение Рх показателей'!$B77)</f>
        <v>0</v>
      </c>
      <c r="H77" s="444"/>
    </row>
    <row r="78" spans="1:8" ht="27.75" customHeight="1">
      <c r="A78" s="423" t="s">
        <v>313</v>
      </c>
      <c r="B78" s="424" t="s">
        <v>305</v>
      </c>
      <c r="C78" s="425">
        <f>SUMIFS(Payroll_OFT_2!C:C,Payroll_OFT_2!$A:$A,'Сравнение Рх показателей'!$A78,Payroll_OFT_2!$B:$B,'Сравнение Рх показателей'!$B78)</f>
        <v>0</v>
      </c>
      <c r="D78" s="425">
        <f>SUMIFS(Payroll_OFT_2!D:D,Payroll_OFT_2!$A:$A,'Сравнение Рх показателей'!$A78,Payroll_OFT_2!$B:$B,'Сравнение Рх показателей'!$B78)</f>
        <v>0</v>
      </c>
      <c r="E78" s="425">
        <f>SUMIFS(Payroll_OFT_2!E:E,Payroll_OFT_2!$A:$A,'Сравнение Рх показателей'!$A78,Payroll_OFT_2!$B:$B,'Сравнение Рх показателей'!$B78)</f>
        <v>0</v>
      </c>
      <c r="H78" s="444"/>
    </row>
    <row r="79" spans="1:8" ht="27.75" customHeight="1">
      <c r="A79" s="412" t="s">
        <v>383</v>
      </c>
      <c r="B79" s="421" t="s">
        <v>382</v>
      </c>
      <c r="C79" s="415">
        <f>SUMIFS(Payroll_OFT_2!C:C,Payroll_OFT_2!$A:$A,'Сравнение Рх показателей'!$A79,Payroll_OFT_2!$B:$B,'Сравнение Рх показателей'!$B79)</f>
        <v>1</v>
      </c>
      <c r="D79" s="415">
        <f>SUMIFS(Payroll_OFT_2!D:D,Payroll_OFT_2!$A:$A,'Сравнение Рх показателей'!$A79,Payroll_OFT_2!$B:$B,'Сравнение Рх показателей'!$B79)</f>
        <v>1</v>
      </c>
      <c r="E79" s="415">
        <f>SUMIFS(Payroll_OFT_2!E:E,Payroll_OFT_2!$A:$A,'Сравнение Рх показателей'!$A79,Payroll_OFT_2!$B:$B,'Сравнение Рх показателей'!$B79)</f>
        <v>1</v>
      </c>
      <c r="H79" s="444"/>
    </row>
    <row r="80" spans="1:8" ht="27.75" customHeight="1">
      <c r="A80" s="423" t="s">
        <v>383</v>
      </c>
      <c r="B80" s="424" t="s">
        <v>375</v>
      </c>
      <c r="C80" s="425">
        <f>SUMIFS(Payroll_OFT_2!C:C,Payroll_OFT_2!$A:$A,'Сравнение Рх показателей'!$A80,Payroll_OFT_2!$B:$B,'Сравнение Рх показателей'!$B80)</f>
        <v>0</v>
      </c>
      <c r="D80" s="425">
        <f>SUMIFS(Payroll_OFT_2!D:D,Payroll_OFT_2!$A:$A,'Сравнение Рх показателей'!$A80,Payroll_OFT_2!$B:$B,'Сравнение Рх показателей'!$B80)</f>
        <v>0</v>
      </c>
      <c r="E80" s="425">
        <f>SUMIFS(Payroll_OFT_2!E:E,Payroll_OFT_2!$A:$A,'Сравнение Рх показателей'!$A80,Payroll_OFT_2!$B:$B,'Сравнение Рх показателей'!$B80)</f>
        <v>0</v>
      </c>
      <c r="H80" s="444"/>
    </row>
    <row r="81" spans="1:8" ht="27.75" customHeight="1">
      <c r="A81" s="412" t="s">
        <v>384</v>
      </c>
      <c r="B81" s="421" t="s">
        <v>373</v>
      </c>
      <c r="C81" s="415">
        <f>SUMIFS(Payroll_OFT_2!C:C,Payroll_OFT_2!$A:$A,'Сравнение Рх показателей'!$A81,Payroll_OFT_2!$B:$B,'Сравнение Рх показателей'!$B81)</f>
        <v>2</v>
      </c>
      <c r="D81" s="415">
        <f>SUMIFS(Payroll_OFT_2!D:D,Payroll_OFT_2!$A:$A,'Сравнение Рх показателей'!$A81,Payroll_OFT_2!$B:$B,'Сравнение Рх показателей'!$B81)</f>
        <v>2</v>
      </c>
      <c r="E81" s="415">
        <f>SUMIFS(Payroll_OFT_2!E:E,Payroll_OFT_2!$A:$A,'Сравнение Рх показателей'!$A81,Payroll_OFT_2!$B:$B,'Сравнение Рх показателей'!$B81)</f>
        <v>2</v>
      </c>
      <c r="H81" s="444"/>
    </row>
    <row r="82" spans="1:8" ht="27.75" customHeight="1">
      <c r="A82" s="423" t="s">
        <v>384</v>
      </c>
      <c r="B82" s="424" t="s">
        <v>375</v>
      </c>
      <c r="C82" s="425">
        <f>SUMIFS(Payroll_OFT_2!C:C,Payroll_OFT_2!$A:$A,'Сравнение Рх показателей'!$A82,Payroll_OFT_2!$B:$B,'Сравнение Рх показателей'!$B82)</f>
        <v>1</v>
      </c>
      <c r="D82" s="425">
        <f>SUMIFS(Payroll_OFT_2!D:D,Payroll_OFT_2!$A:$A,'Сравнение Рх показателей'!$A82,Payroll_OFT_2!$B:$B,'Сравнение Рх показателей'!$B82)</f>
        <v>2</v>
      </c>
      <c r="E82" s="425">
        <f>SUMIFS(Payroll_OFT_2!E:E,Payroll_OFT_2!$A:$A,'Сравнение Рх показателей'!$A82,Payroll_OFT_2!$B:$B,'Сравнение Рх показателей'!$B82)</f>
        <v>2</v>
      </c>
      <c r="H82" s="444"/>
    </row>
    <row r="83" spans="1:8" ht="27.75" customHeight="1">
      <c r="A83" s="412" t="s">
        <v>312</v>
      </c>
      <c r="B83" s="421" t="s">
        <v>375</v>
      </c>
      <c r="C83" s="415">
        <f>SUMIFS(Payroll_OFT_2!C:C,Payroll_OFT_2!$A:$A,'Сравнение Рх показателей'!$A83,Payroll_OFT_2!$B:$B,'Сравнение Рх показателей'!$B83)</f>
        <v>1</v>
      </c>
      <c r="D83" s="415">
        <f>SUMIFS(Payroll_OFT_2!D:D,Payroll_OFT_2!$A:$A,'Сравнение Рх показателей'!$A83,Payroll_OFT_2!$B:$B,'Сравнение Рх показателей'!$B83)</f>
        <v>1</v>
      </c>
      <c r="E83" s="415">
        <f>SUMIFS(Payroll_OFT_2!E:E,Payroll_OFT_2!$A:$A,'Сравнение Рх показателей'!$A83,Payroll_OFT_2!$B:$B,'Сравнение Рх показателей'!$B83)</f>
        <v>1</v>
      </c>
      <c r="H83" s="444"/>
    </row>
    <row r="84" spans="1:8" ht="27.75" customHeight="1">
      <c r="A84" s="412" t="s">
        <v>388</v>
      </c>
      <c r="B84" s="413" t="s">
        <v>306</v>
      </c>
      <c r="C84" s="415">
        <f>SUMIFS(Payroll_OFT_2!C:C,Payroll_OFT_2!$A:$A,'Сравнение Рх показателей'!$A84,Payroll_OFT_2!$B:$B,'Сравнение Рх показателей'!$B84)</f>
        <v>1</v>
      </c>
      <c r="D84" s="415">
        <f>SUMIFS(Payroll_OFT_2!D:D,Payroll_OFT_2!$A:$A,'Сравнение Рх показателей'!$A84,Payroll_OFT_2!$B:$B,'Сравнение Рх показателей'!$B84)</f>
        <v>1</v>
      </c>
      <c r="E84" s="415">
        <f>SUMIFS(Payroll_OFT_2!E:E,Payroll_OFT_2!$A:$A,'Сравнение Рх показателей'!$A84,Payroll_OFT_2!$B:$B,'Сравнение Рх показателей'!$B84)</f>
        <v>1</v>
      </c>
      <c r="H84" s="444"/>
    </row>
    <row r="85" spans="1:8" ht="27.75" customHeight="1">
      <c r="A85" s="423" t="s">
        <v>389</v>
      </c>
      <c r="B85" s="424" t="s">
        <v>307</v>
      </c>
      <c r="C85" s="425">
        <f>SUMIFS(Payroll_OFT_2!C:C,Payroll_OFT_2!$A:$A,'Сравнение Рх показателей'!$A85,Payroll_OFT_2!$B:$B,'Сравнение Рх показателей'!$B85)</f>
        <v>1</v>
      </c>
      <c r="D85" s="425">
        <f>SUMIFS(Payroll_OFT_2!D:D,Payroll_OFT_2!$A:$A,'Сравнение Рх показателей'!$A85,Payroll_OFT_2!$B:$B,'Сравнение Рх показателей'!$B85)</f>
        <v>1</v>
      </c>
      <c r="E85" s="425">
        <f>SUMIFS(Payroll_OFT_2!E:E,Payroll_OFT_2!$A:$A,'Сравнение Рх показателей'!$A85,Payroll_OFT_2!$B:$B,'Сравнение Рх показателей'!$B85)</f>
        <v>1</v>
      </c>
      <c r="H85" s="444"/>
    </row>
    <row r="86" spans="1:8" ht="27.75" customHeight="1">
      <c r="A86" s="412" t="s">
        <v>390</v>
      </c>
      <c r="B86" s="421" t="s">
        <v>391</v>
      </c>
      <c r="C86" s="415">
        <f>SUMIFS(Payroll_OFT_2!C:C,Payroll_OFT_2!$A:$A,'Сравнение Рх показателей'!$A86,Payroll_OFT_2!$B:$B,'Сравнение Рх показателей'!$B86)</f>
        <v>8</v>
      </c>
      <c r="D86" s="415">
        <f>SUMIFS(Payroll_OFT_2!D:D,Payroll_OFT_2!$A:$A,'Сравнение Рх показателей'!$A86,Payroll_OFT_2!$B:$B,'Сравнение Рх показателей'!$B86)</f>
        <v>8</v>
      </c>
      <c r="E86" s="415">
        <f>SUMIFS(Payroll_OFT_2!E:E,Payroll_OFT_2!$A:$A,'Сравнение Рх показателей'!$A86,Payroll_OFT_2!$B:$B,'Сравнение Рх показателей'!$B86)</f>
        <v>8</v>
      </c>
      <c r="H86" s="444"/>
    </row>
    <row r="87" spans="1:8" ht="27.75" customHeight="1">
      <c r="A87" s="423" t="s">
        <v>390</v>
      </c>
      <c r="B87" s="424" t="s">
        <v>392</v>
      </c>
      <c r="C87" s="425">
        <f>SUMIFS(Payroll_OFT_2!C:C,Payroll_OFT_2!$A:$A,'Сравнение Рх показателей'!$A87,Payroll_OFT_2!$B:$B,'Сравнение Рх показателей'!$B87)</f>
        <v>2</v>
      </c>
      <c r="D87" s="425">
        <f>SUMIFS(Payroll_OFT_2!D:D,Payroll_OFT_2!$A:$A,'Сравнение Рх показателей'!$A87,Payroll_OFT_2!$B:$B,'Сравнение Рх показателей'!$B87)</f>
        <v>2</v>
      </c>
      <c r="E87" s="425">
        <f>SUMIFS(Payroll_OFT_2!E:E,Payroll_OFT_2!$A:$A,'Сравнение Рх показателей'!$A87,Payroll_OFT_2!$B:$B,'Сравнение Рх показателей'!$B87)</f>
        <v>2</v>
      </c>
      <c r="H87" s="444"/>
    </row>
    <row r="88" spans="1:8" ht="27.75" customHeight="1">
      <c r="A88" s="412" t="s">
        <v>376</v>
      </c>
      <c r="B88" s="421" t="s">
        <v>375</v>
      </c>
      <c r="C88" s="415">
        <f>SUMIFS(Payroll_OFT_2!C:C,Payroll_OFT_2!$A:$A,'Сравнение Рх показателей'!$A88,Payroll_OFT_2!$B:$B,'Сравнение Рх показателей'!$B88)</f>
        <v>1</v>
      </c>
      <c r="D88" s="415">
        <f>SUMIFS(Payroll_OFT_2!D:D,Payroll_OFT_2!$A:$A,'Сравнение Рх показателей'!$A88,Payroll_OFT_2!$B:$B,'Сравнение Рх показателей'!$B88)</f>
        <v>2</v>
      </c>
      <c r="E88" s="415">
        <f>SUMIFS(Payroll_OFT_2!E:E,Payroll_OFT_2!$A:$A,'Сравнение Рх показателей'!$A88,Payroll_OFT_2!$B:$B,'Сравнение Рх показателей'!$B88)</f>
        <v>2</v>
      </c>
      <c r="H88" s="444"/>
    </row>
    <row r="89" spans="1:8" ht="27.75" customHeight="1">
      <c r="A89" s="412" t="s">
        <v>385</v>
      </c>
      <c r="B89" s="421" t="s">
        <v>375</v>
      </c>
      <c r="C89" s="415">
        <f>SUMIFS(Payroll_OFT_2!C:C,Payroll_OFT_2!$A:$A,'Сравнение Рх показателей'!$A89,Payroll_OFT_2!$B:$B,'Сравнение Рх показателей'!$B89)</f>
        <v>1</v>
      </c>
      <c r="D89" s="415">
        <f>SUMIFS(Payroll_OFT_2!D:D,Payroll_OFT_2!$A:$A,'Сравнение Рх показателей'!$A89,Payroll_OFT_2!$B:$B,'Сравнение Рх показателей'!$B89)</f>
        <v>2</v>
      </c>
      <c r="E89" s="415">
        <f>SUMIFS(Payroll_OFT_2!E:E,Payroll_OFT_2!$A:$A,'Сравнение Рх показателей'!$A89,Payroll_OFT_2!$B:$B,'Сравнение Рх показателей'!$B89)</f>
        <v>2</v>
      </c>
      <c r="H89" s="444"/>
    </row>
  </sheetData>
  <pageMargins left="0.70866141732283472" right="0.70866141732283472" top="0.74803149606299213" bottom="0.74803149606299213" header="0.31496062992125984" footer="0.31496062992125984"/>
  <pageSetup paperSize="9" scale="3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1"/>
  <sheetViews>
    <sheetView showGridLines="0" workbookViewId="0">
      <selection activeCell="A4" sqref="A4"/>
    </sheetView>
  </sheetViews>
  <sheetFormatPr defaultColWidth="8.88671875" defaultRowHeight="13.8"/>
  <cols>
    <col min="1" max="1" width="128.44140625" style="282" bestFit="1" customWidth="1"/>
    <col min="2" max="16384" width="8.88671875" style="282"/>
  </cols>
  <sheetData>
    <row r="1" spans="1:18" ht="26.25" customHeight="1">
      <c r="A1" s="258" t="s">
        <v>408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535"/>
      <c r="N1" s="535"/>
      <c r="O1" s="535"/>
      <c r="P1" s="535"/>
      <c r="Q1" s="535"/>
      <c r="R1" s="535"/>
    </row>
    <row r="2" spans="1:18" ht="26.25" customHeight="1">
      <c r="A2" s="259" t="s">
        <v>315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535"/>
      <c r="N2" s="535"/>
      <c r="O2" s="535"/>
      <c r="P2" s="535"/>
      <c r="Q2" s="535"/>
      <c r="R2" s="535"/>
    </row>
    <row r="3" spans="1:18" ht="26.25" customHeight="1">
      <c r="A3" s="259" t="s">
        <v>409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535"/>
      <c r="N3" s="535"/>
      <c r="O3" s="535"/>
      <c r="P3" s="535"/>
      <c r="Q3" s="535"/>
      <c r="R3" s="535"/>
    </row>
    <row r="4" spans="1:18" ht="26.25" customHeight="1">
      <c r="A4" s="259" t="s">
        <v>410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535"/>
      <c r="N4" s="535"/>
      <c r="O4" s="535"/>
      <c r="P4" s="535"/>
      <c r="Q4" s="535"/>
      <c r="R4" s="535"/>
    </row>
    <row r="5" spans="1:18" ht="26.25" customHeight="1">
      <c r="A5" s="258" t="s">
        <v>296</v>
      </c>
      <c r="B5" s="259"/>
      <c r="C5" s="259"/>
      <c r="D5" s="259"/>
      <c r="E5" s="283"/>
      <c r="F5" s="283"/>
      <c r="G5" s="283"/>
      <c r="H5" s="283"/>
      <c r="I5" s="283"/>
      <c r="J5" s="283"/>
      <c r="K5" s="259"/>
      <c r="L5" s="259"/>
      <c r="M5" s="535"/>
      <c r="N5" s="535"/>
      <c r="O5" s="535"/>
      <c r="P5" s="535"/>
      <c r="Q5" s="535"/>
      <c r="R5" s="535"/>
    </row>
    <row r="6" spans="1:18" ht="44.25" customHeight="1">
      <c r="A6" s="701" t="s">
        <v>316</v>
      </c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</row>
    <row r="7" spans="1:18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535"/>
      <c r="N7" s="535"/>
      <c r="O7" s="535"/>
      <c r="P7" s="535"/>
      <c r="Q7" s="535"/>
      <c r="R7" s="535"/>
    </row>
    <row r="8" spans="1:18">
      <c r="A8" s="259" t="s">
        <v>297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535"/>
      <c r="N8" s="535"/>
      <c r="O8" s="535"/>
      <c r="P8" s="535"/>
      <c r="Q8" s="535"/>
      <c r="R8" s="535"/>
    </row>
    <row r="9" spans="1:18" ht="78" customHeight="1">
      <c r="A9" s="346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8" ht="132" customHeight="1">
      <c r="A10" s="701"/>
      <c r="B10" s="701"/>
      <c r="C10" s="701"/>
      <c r="D10" s="701"/>
      <c r="E10" s="701"/>
      <c r="F10" s="701"/>
      <c r="G10" s="701"/>
      <c r="H10" s="701"/>
      <c r="I10" s="701"/>
      <c r="J10" s="701"/>
      <c r="K10" s="701"/>
      <c r="L10" s="701"/>
      <c r="M10" s="701"/>
      <c r="N10" s="701"/>
      <c r="O10" s="701"/>
      <c r="P10" s="701"/>
      <c r="Q10" s="701"/>
      <c r="R10" s="701"/>
    </row>
    <row r="11" spans="1:18" ht="135.75" customHeight="1">
      <c r="A11" s="702"/>
      <c r="B11" s="702"/>
      <c r="C11" s="702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702"/>
      <c r="O11" s="702"/>
      <c r="P11" s="702"/>
      <c r="Q11" s="702"/>
      <c r="R11" s="702"/>
    </row>
    <row r="12" spans="1:18" ht="22.5" customHeight="1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8" ht="22.5" customHeight="1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</row>
    <row r="14" spans="1:18" ht="22.5" customHeight="1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</row>
    <row r="15" spans="1:18" ht="22.5" customHeight="1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</row>
    <row r="16" spans="1:18" ht="22.5" customHeight="1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</row>
    <row r="17" spans="1:12" ht="22.5" customHeight="1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</row>
    <row r="18" spans="1:12">
      <c r="A18" s="260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</row>
    <row r="19" spans="1:12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</row>
    <row r="20" spans="1:12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</row>
    <row r="21" spans="1:12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</row>
  </sheetData>
  <mergeCells count="3">
    <mergeCell ref="A10:R10"/>
    <mergeCell ref="A11:R11"/>
    <mergeCell ref="A6:R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CCFF"/>
  </sheetPr>
  <dimension ref="A1:T94"/>
  <sheetViews>
    <sheetView showGridLines="0" topLeftCell="A2" zoomScale="90" zoomScaleNormal="90" workbookViewId="0">
      <selection activeCell="E36" sqref="D36:E36"/>
    </sheetView>
  </sheetViews>
  <sheetFormatPr defaultColWidth="9.109375" defaultRowHeight="13.8"/>
  <cols>
    <col min="1" max="1" width="9.109375" style="269"/>
    <col min="2" max="2" width="54.6640625" style="268" customWidth="1"/>
    <col min="3" max="3" width="19.21875" style="268" customWidth="1"/>
    <col min="4" max="4" width="15.44140625" style="268" customWidth="1"/>
    <col min="5" max="5" width="15.109375" style="268" bestFit="1" customWidth="1"/>
    <col min="6" max="6" width="15.6640625" style="268" bestFit="1" customWidth="1"/>
    <col min="7" max="7" width="7.44140625" style="268" bestFit="1" customWidth="1"/>
    <col min="8" max="8" width="20.33203125" style="268" customWidth="1"/>
    <col min="9" max="9" width="15.77734375" style="268" customWidth="1"/>
    <col min="10" max="10" width="17" style="268" customWidth="1"/>
    <col min="11" max="11" width="22.21875" style="269" customWidth="1"/>
    <col min="12" max="16384" width="9.109375" style="269"/>
  </cols>
  <sheetData>
    <row r="1" spans="2:11" ht="24">
      <c r="B1" s="578" t="s">
        <v>452</v>
      </c>
    </row>
    <row r="2" spans="2:11" ht="24">
      <c r="B2" s="578"/>
    </row>
    <row r="3" spans="2:11" s="56" customFormat="1" ht="24" thickBot="1">
      <c r="B3" s="575" t="s">
        <v>425</v>
      </c>
      <c r="C3" s="576"/>
      <c r="D3" s="576"/>
      <c r="E3" s="577"/>
      <c r="F3" s="576"/>
      <c r="G3" s="576"/>
      <c r="H3" s="576"/>
      <c r="I3" s="577"/>
      <c r="J3" s="576"/>
      <c r="K3" s="576"/>
    </row>
    <row r="4" spans="2:11" ht="14.4" thickBot="1">
      <c r="B4" s="580"/>
      <c r="C4" s="579"/>
    </row>
    <row r="5" spans="2:11" ht="24.6" thickTop="1" thickBot="1">
      <c r="B5" s="581" t="s">
        <v>426</v>
      </c>
      <c r="C5" s="582">
        <f>'Summary_офт-фарма'!C20</f>
        <v>-134657889.83500001</v>
      </c>
    </row>
    <row r="6" spans="2:11" hidden="1">
      <c r="B6" s="583"/>
      <c r="C6" s="583"/>
    </row>
    <row r="7" spans="2:11" ht="23.4" hidden="1">
      <c r="B7" s="584" t="s">
        <v>427</v>
      </c>
      <c r="C7" s="585" t="s">
        <v>428</v>
      </c>
    </row>
    <row r="8" spans="2:11" ht="23.4" hidden="1">
      <c r="B8" s="584" t="s">
        <v>429</v>
      </c>
      <c r="C8" s="585">
        <v>174639425.5</v>
      </c>
    </row>
    <row r="9" spans="2:11" ht="23.4" hidden="1">
      <c r="B9" s="584" t="s">
        <v>430</v>
      </c>
      <c r="C9" s="585">
        <v>70420760</v>
      </c>
    </row>
    <row r="10" spans="2:11" ht="23.4" hidden="1">
      <c r="B10" s="584" t="s">
        <v>431</v>
      </c>
      <c r="C10" s="585">
        <v>3000000</v>
      </c>
    </row>
    <row r="11" spans="2:11" ht="23.4" hidden="1">
      <c r="B11" s="584" t="s">
        <v>432</v>
      </c>
      <c r="C11" s="585">
        <v>2450000</v>
      </c>
    </row>
    <row r="12" spans="2:11" ht="23.4" hidden="1">
      <c r="B12" s="584" t="s">
        <v>433</v>
      </c>
      <c r="C12" s="585">
        <v>6488793</v>
      </c>
    </row>
    <row r="13" spans="2:11" ht="23.4" hidden="1">
      <c r="B13" s="584" t="s">
        <v>434</v>
      </c>
      <c r="C13" s="585">
        <v>1721205</v>
      </c>
    </row>
    <row r="14" spans="2:11" ht="23.4" hidden="1">
      <c r="B14" s="584" t="s">
        <v>435</v>
      </c>
      <c r="C14" s="585">
        <v>0</v>
      </c>
    </row>
    <row r="15" spans="2:11" ht="23.4" hidden="1">
      <c r="B15" s="584" t="s">
        <v>436</v>
      </c>
      <c r="C15" s="585">
        <v>8500000</v>
      </c>
    </row>
    <row r="16" spans="2:11" ht="23.4" hidden="1">
      <c r="B16" s="584" t="s">
        <v>437</v>
      </c>
      <c r="C16" s="585"/>
    </row>
    <row r="17" spans="2:20" ht="23.4" hidden="1">
      <c r="B17" s="584" t="s">
        <v>438</v>
      </c>
      <c r="C17" s="585">
        <v>5344403.67</v>
      </c>
    </row>
    <row r="18" spans="2:20" ht="24" hidden="1" thickBot="1">
      <c r="B18" s="584"/>
      <c r="C18" s="585">
        <v>272564587.16999996</v>
      </c>
    </row>
    <row r="19" spans="2:20" ht="24.6" hidden="1" thickTop="1" thickBot="1">
      <c r="B19" s="581" t="s">
        <v>439</v>
      </c>
      <c r="C19" s="582">
        <v>3248807.5</v>
      </c>
    </row>
    <row r="20" spans="2:20" ht="24.6" hidden="1" thickTop="1" thickBot="1">
      <c r="B20" s="581" t="s">
        <v>440</v>
      </c>
      <c r="C20" s="582">
        <v>269315779.66999996</v>
      </c>
    </row>
    <row r="23" spans="2:20">
      <c r="E23" s="591"/>
    </row>
    <row r="24" spans="2:20" s="263" customFormat="1">
      <c r="B24" s="261" t="s">
        <v>339</v>
      </c>
      <c r="C24" s="262"/>
      <c r="D24" s="262"/>
      <c r="E24" s="592"/>
      <c r="F24" s="592"/>
      <c r="G24" s="653"/>
      <c r="H24" s="653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</row>
    <row r="25" spans="2:20" s="264" customFormat="1">
      <c r="C25" s="265" t="s">
        <v>253</v>
      </c>
      <c r="D25" s="265" t="s">
        <v>251</v>
      </c>
      <c r="E25" s="586" t="e">
        <f>#REF!</f>
        <v>#REF!</v>
      </c>
      <c r="F25" s="592"/>
      <c r="G25" s="653"/>
      <c r="H25" s="653"/>
      <c r="I25" s="654"/>
      <c r="J25" s="655"/>
      <c r="K25" s="655"/>
      <c r="L25" s="655"/>
      <c r="M25" s="655"/>
      <c r="N25" s="655"/>
      <c r="O25" s="655"/>
      <c r="P25" s="655"/>
      <c r="Q25" s="655"/>
      <c r="R25" s="655"/>
      <c r="S25" s="655"/>
      <c r="T25" s="655"/>
    </row>
    <row r="26" spans="2:20" ht="24" customHeight="1">
      <c r="B26" s="266" t="s">
        <v>270</v>
      </c>
      <c r="C26" s="267" t="s">
        <v>271</v>
      </c>
      <c r="D26" s="267" t="s">
        <v>271</v>
      </c>
      <c r="E26" s="593" t="s">
        <v>271</v>
      </c>
      <c r="F26" s="592"/>
      <c r="G26" s="656"/>
      <c r="H26" s="657" t="s">
        <v>295</v>
      </c>
      <c r="I26" s="591"/>
      <c r="J26" s="591"/>
      <c r="K26" s="591"/>
      <c r="L26" s="591"/>
      <c r="M26" s="656"/>
      <c r="N26" s="656"/>
      <c r="O26" s="656"/>
      <c r="P26" s="656"/>
      <c r="Q26" s="656"/>
      <c r="R26" s="656"/>
      <c r="S26" s="656"/>
      <c r="T26" s="656"/>
    </row>
    <row r="27" spans="2:20" ht="18" customHeight="1">
      <c r="B27" s="270" t="s">
        <v>45</v>
      </c>
      <c r="C27" s="271">
        <f>D27</f>
        <v>1372754945</v>
      </c>
      <c r="D27" s="271">
        <f>'PL OFT_2'!D8+'PL OFT_2'!E8+'PL OFT_2'!F8</f>
        <v>1372754945</v>
      </c>
      <c r="E27" s="587">
        <f>'PL Optic_2'!D8+'PL Optic_2'!E8+'PL Optic_2'!F8</f>
        <v>0</v>
      </c>
      <c r="F27" s="592"/>
      <c r="G27" s="656"/>
      <c r="H27" s="662" t="s">
        <v>290</v>
      </c>
      <c r="I27" s="663" t="s">
        <v>291</v>
      </c>
      <c r="J27" s="663" t="s">
        <v>292</v>
      </c>
      <c r="K27" s="663" t="s">
        <v>293</v>
      </c>
      <c r="L27" s="663" t="s">
        <v>294</v>
      </c>
      <c r="M27" s="656"/>
      <c r="N27" s="656"/>
      <c r="O27" s="656"/>
      <c r="P27" s="656"/>
      <c r="Q27" s="656"/>
      <c r="R27" s="656"/>
      <c r="S27" s="656"/>
      <c r="T27" s="656"/>
    </row>
    <row r="28" spans="2:20" ht="18" customHeight="1">
      <c r="B28" s="270" t="s">
        <v>131</v>
      </c>
      <c r="C28" s="271" t="e">
        <f t="shared" ref="C28:C35" si="0">D28</f>
        <v>#REF!</v>
      </c>
      <c r="D28" s="271" t="e">
        <f>'PL OFT_2'!D52+'PL OFT_2'!E52+'PL OFT_2'!F52</f>
        <v>#REF!</v>
      </c>
      <c r="E28" s="587">
        <f ca="1">'PL Optic_2'!D51+'PL Optic_2'!E51+'PL Optic_2'!F51</f>
        <v>0</v>
      </c>
      <c r="F28" s="592"/>
      <c r="G28" s="658" t="str">
        <f>'Revenue OFT_2'!A35</f>
        <v>Доходы в мес. Диагностика</v>
      </c>
      <c r="H28" s="659" t="s">
        <v>19</v>
      </c>
      <c r="I28" s="660">
        <f>SUMIF('Revenue OFT_2'!$A:$A,Total_fin!$G28,'Revenue OFT_2'!E:E)/1000</f>
        <v>15479.1</v>
      </c>
      <c r="J28" s="660">
        <f>SUMIF('Revenue OFT_2'!$A:$A,Total_fin!$G28,'Revenue OFT_2'!F:F)/1000</f>
        <v>34054.019999999997</v>
      </c>
      <c r="K28" s="660">
        <f>SUMIF('Revenue OFT_2'!$A:$A,Total_fin!$G28,'Revenue OFT_2'!G:G)/1000</f>
        <v>36673.56</v>
      </c>
      <c r="L28" s="660">
        <f>SUM(I28:K28)</f>
        <v>86206.68</v>
      </c>
      <c r="M28" s="656"/>
      <c r="N28" s="656"/>
      <c r="O28" s="656"/>
      <c r="P28" s="656"/>
      <c r="Q28" s="656"/>
      <c r="R28" s="656"/>
      <c r="S28" s="656"/>
      <c r="T28" s="656"/>
    </row>
    <row r="29" spans="2:20" ht="18" customHeight="1">
      <c r="B29" s="270" t="s">
        <v>46</v>
      </c>
      <c r="C29" s="272" t="e">
        <f t="shared" si="0"/>
        <v>#REF!</v>
      </c>
      <c r="D29" s="272" t="e">
        <f>D28/D27</f>
        <v>#REF!</v>
      </c>
      <c r="E29" s="594" t="e">
        <f ca="1">E28/E27</f>
        <v>#DIV/0!</v>
      </c>
      <c r="F29" s="592"/>
      <c r="G29" s="658" t="str">
        <f>'Revenue OFT_2'!A41</f>
        <v>Доходы в мес. Катаракта</v>
      </c>
      <c r="H29" s="659" t="s">
        <v>164</v>
      </c>
      <c r="I29" s="660">
        <f>SUMIF('Revenue OFT_2'!$A:$A,Total_fin!$G29,'Revenue OFT_2'!E:E)/1000</f>
        <v>66646</v>
      </c>
      <c r="J29" s="660">
        <f>SUMIF('Revenue OFT_2'!$A:$A,Total_fin!$G29,'Revenue OFT_2'!F:F)/1000</f>
        <v>156000</v>
      </c>
      <c r="K29" s="660">
        <f>SUMIF('Revenue OFT_2'!$A:$A,Total_fin!$G29,'Revenue OFT_2'!G:G)/1000</f>
        <v>209880</v>
      </c>
      <c r="L29" s="660">
        <f t="shared" ref="L29:L34" si="1">SUM(I29:K29)</f>
        <v>432526</v>
      </c>
      <c r="M29" s="656"/>
      <c r="N29" s="656"/>
      <c r="O29" s="656"/>
      <c r="P29" s="656"/>
      <c r="Q29" s="656"/>
      <c r="R29" s="656"/>
      <c r="S29" s="656"/>
      <c r="T29" s="656"/>
    </row>
    <row r="30" spans="2:20" ht="18" customHeight="1">
      <c r="B30" s="273" t="s">
        <v>243</v>
      </c>
      <c r="C30" s="274">
        <f>D30</f>
        <v>-134657889.83500001</v>
      </c>
      <c r="D30" s="274">
        <f>'Summary_офт-фарма'!AM20</f>
        <v>-134657889.83500001</v>
      </c>
      <c r="E30" s="587">
        <f>'Summary_офт-фарма'!CD20</f>
        <v>0</v>
      </c>
      <c r="F30" s="592"/>
      <c r="G30" s="658" t="str">
        <f>'Revenue OFT_2'!A47</f>
        <v>Доходы в мес. Эксимер</v>
      </c>
      <c r="H30" s="659" t="s">
        <v>169</v>
      </c>
      <c r="I30" s="660">
        <f>SUMIF('Revenue OFT_2'!$A:$A,Total_fin!$G30,'Revenue OFT_2'!E:E)/1000</f>
        <v>103350</v>
      </c>
      <c r="J30" s="660">
        <f>SUMIF('Revenue OFT_2'!$A:$A,Total_fin!$G30,'Revenue OFT_2'!F:F)/1000</f>
        <v>260400</v>
      </c>
      <c r="K30" s="660">
        <f>SUMIF('Revenue OFT_2'!$A:$A,Total_fin!$G30,'Revenue OFT_2'!G:G)/1000</f>
        <v>361620</v>
      </c>
      <c r="L30" s="660">
        <f t="shared" si="1"/>
        <v>725370</v>
      </c>
      <c r="M30" s="656"/>
      <c r="N30" s="656"/>
      <c r="O30" s="656"/>
      <c r="P30" s="656"/>
      <c r="Q30" s="656"/>
      <c r="R30" s="656"/>
      <c r="S30" s="656"/>
      <c r="T30" s="656"/>
    </row>
    <row r="31" spans="2:20" ht="18" customHeight="1">
      <c r="B31" s="273" t="s">
        <v>47</v>
      </c>
      <c r="C31" s="275">
        <f t="shared" si="0"/>
        <v>0</v>
      </c>
      <c r="D31" s="275">
        <f>'Summary_офт-фарма'!B26</f>
        <v>0</v>
      </c>
      <c r="E31" s="588">
        <f ca="1">'Summary_офт-фарма'!AS26</f>
        <v>0</v>
      </c>
      <c r="F31" s="592"/>
      <c r="G31" s="658" t="str">
        <f>'Revenue OFT_2'!A53</f>
        <v>Доходы в мес. Витрео</v>
      </c>
      <c r="H31" s="659" t="s">
        <v>174</v>
      </c>
      <c r="I31" s="660">
        <f>SUMIF('Revenue OFT_2'!$A:$A,Total_fin!$G31,'Revenue OFT_2'!E:E)/1000</f>
        <v>0</v>
      </c>
      <c r="J31" s="660">
        <f>SUMIF('Revenue OFT_2'!$A:$A,Total_fin!$G31,'Revenue OFT_2'!F:F)/1000</f>
        <v>0</v>
      </c>
      <c r="K31" s="660">
        <f>SUMIF('Revenue OFT_2'!$A:$A,Total_fin!$G31,'Revenue OFT_2'!G:G)/1000</f>
        <v>0</v>
      </c>
      <c r="L31" s="660">
        <f t="shared" si="1"/>
        <v>0</v>
      </c>
      <c r="M31" s="656"/>
      <c r="N31" s="656"/>
      <c r="O31" s="656"/>
      <c r="P31" s="656"/>
      <c r="Q31" s="656"/>
      <c r="R31" s="656"/>
      <c r="S31" s="656"/>
      <c r="T31" s="656"/>
    </row>
    <row r="32" spans="2:20" ht="18" customHeight="1">
      <c r="B32" s="273" t="s">
        <v>49</v>
      </c>
      <c r="C32" s="275">
        <f t="shared" si="0"/>
        <v>0</v>
      </c>
      <c r="D32" s="275">
        <f>'Summary_офт-фарма'!B27</f>
        <v>0</v>
      </c>
      <c r="E32" s="588">
        <f ca="1">E31/12</f>
        <v>0</v>
      </c>
      <c r="F32" s="588"/>
      <c r="G32" s="658" t="str">
        <f>'Revenue OFT_2'!A59</f>
        <v>Доходы в мес. Пресбиопия</v>
      </c>
      <c r="H32" s="659" t="s">
        <v>179</v>
      </c>
      <c r="I32" s="660">
        <f>SUMIF('Revenue OFT_2'!$A:$A,Total_fin!$G32,'Revenue OFT_2'!E:E)/1000</f>
        <v>6885</v>
      </c>
      <c r="J32" s="660">
        <f>SUMIF('Revenue OFT_2'!$A:$A,Total_fin!$G32,'Revenue OFT_2'!F:F)/1000</f>
        <v>15660</v>
      </c>
      <c r="K32" s="660">
        <f>SUMIF('Revenue OFT_2'!$A:$A,Total_fin!$G32,'Revenue OFT_2'!G:G)/1000</f>
        <v>18000</v>
      </c>
      <c r="L32" s="660">
        <f t="shared" si="1"/>
        <v>40545</v>
      </c>
      <c r="M32" s="656"/>
      <c r="N32" s="656"/>
      <c r="O32" s="656"/>
      <c r="P32" s="656"/>
      <c r="Q32" s="656"/>
      <c r="R32" s="656"/>
      <c r="S32" s="656"/>
      <c r="T32" s="656"/>
    </row>
    <row r="33" spans="2:20" ht="27.75" customHeight="1">
      <c r="B33" s="273" t="s">
        <v>132</v>
      </c>
      <c r="C33" s="276" t="e">
        <f t="shared" si="0"/>
        <v>#REF!</v>
      </c>
      <c r="D33" s="276" t="e">
        <f>'Summary_офт-фарма'!B24</f>
        <v>#REF!</v>
      </c>
      <c r="E33" s="589">
        <f ca="1">'Summary_офт-фарма'!AS24</f>
        <v>0</v>
      </c>
      <c r="F33" s="589"/>
      <c r="G33" s="658" t="str">
        <f>'Revenue OFT_2'!A74</f>
        <v>Доходы Лазерное отделение</v>
      </c>
      <c r="H33" s="659" t="s">
        <v>184</v>
      </c>
      <c r="I33" s="660">
        <f>SUMIF('Revenue OFT_2'!$A:$A,Total_fin!$G33,'Revenue OFT_2'!E:E)/1000</f>
        <v>12454.58</v>
      </c>
      <c r="J33" s="660">
        <f>SUMIF('Revenue OFT_2'!$A:$A,Total_fin!$G33,'Revenue OFT_2'!F:F)/1000</f>
        <v>22446.387999999999</v>
      </c>
      <c r="K33" s="660">
        <f>SUMIF('Revenue OFT_2'!$A:$A,Total_fin!$G33,'Revenue OFT_2'!G:G)/1000</f>
        <v>24731.328000000001</v>
      </c>
      <c r="L33" s="660">
        <f t="shared" si="1"/>
        <v>59632.296000000002</v>
      </c>
      <c r="M33" s="656"/>
      <c r="N33" s="656"/>
      <c r="O33" s="656"/>
      <c r="P33" s="656"/>
      <c r="Q33" s="656"/>
      <c r="R33" s="656"/>
      <c r="S33" s="656"/>
      <c r="T33" s="656"/>
    </row>
    <row r="34" spans="2:20" ht="18" customHeight="1">
      <c r="B34" s="273" t="s">
        <v>133</v>
      </c>
      <c r="C34" s="277" t="e">
        <f t="shared" si="0"/>
        <v>#VALUE!</v>
      </c>
      <c r="D34" s="277" t="e">
        <f>'Summary_офт-фарма'!B25</f>
        <v>#VALUE!</v>
      </c>
      <c r="E34" s="590" t="e">
        <f ca="1">'Summary_офт-фарма'!AS25</f>
        <v>#NUM!</v>
      </c>
      <c r="F34" s="590"/>
      <c r="G34" s="658" t="str">
        <f>'Revenue OFT_2'!A90</f>
        <v>Доходы Детское отделение</v>
      </c>
      <c r="H34" s="659" t="s">
        <v>198</v>
      </c>
      <c r="I34" s="660">
        <f>SUMIF('Revenue OFT_2'!$A:$A,Total_fin!$G34,'Revenue OFT_2'!E:E)/1000</f>
        <v>4324</v>
      </c>
      <c r="J34" s="660">
        <f>SUMIF('Revenue OFT_2'!$A:$A,Total_fin!$G34,'Revenue OFT_2'!F:F)/1000</f>
        <v>11880</v>
      </c>
      <c r="K34" s="660">
        <f>SUMIF('Revenue OFT_2'!$A:$A,Total_fin!$G34,'Revenue OFT_2'!G:G)/1000</f>
        <v>1485</v>
      </c>
      <c r="L34" s="660">
        <f t="shared" si="1"/>
        <v>17689</v>
      </c>
      <c r="M34" s="656"/>
      <c r="N34" s="656"/>
      <c r="O34" s="656"/>
      <c r="P34" s="656"/>
      <c r="Q34" s="656"/>
      <c r="R34" s="656"/>
      <c r="S34" s="656"/>
      <c r="T34" s="656"/>
    </row>
    <row r="35" spans="2:20" ht="18" customHeight="1">
      <c r="B35" s="273" t="s">
        <v>441</v>
      </c>
      <c r="C35" s="277" t="e">
        <f t="shared" si="0"/>
        <v>#REF!</v>
      </c>
      <c r="D35" s="277" t="e">
        <f>'Summary_офт-фарма'!B28</f>
        <v>#REF!</v>
      </c>
      <c r="E35" s="590" t="e">
        <f ca="1">'Summary_офт-фарма'!AS28</f>
        <v>#DIV/0!</v>
      </c>
      <c r="F35" s="590"/>
      <c r="G35" s="658"/>
      <c r="H35" s="659"/>
      <c r="I35" s="660">
        <f>SUM(I28:I34)</f>
        <v>209138.68</v>
      </c>
      <c r="J35" s="660">
        <f t="shared" ref="J35:L35" si="2">SUM(J28:J34)</f>
        <v>500440.408</v>
      </c>
      <c r="K35" s="660">
        <f t="shared" si="2"/>
        <v>652389.88800000004</v>
      </c>
      <c r="L35" s="660">
        <f t="shared" si="2"/>
        <v>1361968.976</v>
      </c>
      <c r="M35" s="656"/>
      <c r="N35" s="656"/>
      <c r="O35" s="656"/>
      <c r="P35" s="656"/>
      <c r="Q35" s="656"/>
      <c r="R35" s="656"/>
      <c r="S35" s="656"/>
      <c r="T35" s="656"/>
    </row>
    <row r="36" spans="2:20" ht="18" customHeight="1">
      <c r="B36" s="270"/>
      <c r="C36" s="278"/>
      <c r="D36" s="278"/>
      <c r="E36" s="591"/>
      <c r="F36" s="652"/>
      <c r="G36" s="656"/>
      <c r="H36" s="591"/>
      <c r="I36" s="591"/>
      <c r="J36" s="591"/>
      <c r="K36" s="591"/>
      <c r="L36" s="591"/>
      <c r="M36" s="656"/>
      <c r="N36" s="656"/>
      <c r="O36" s="656"/>
      <c r="P36" s="656"/>
      <c r="Q36" s="656"/>
      <c r="R36" s="656"/>
      <c r="S36" s="656"/>
      <c r="T36" s="656"/>
    </row>
    <row r="37" spans="2:20" ht="18" customHeight="1">
      <c r="B37" s="270"/>
      <c r="C37" s="278"/>
      <c r="D37" s="278"/>
      <c r="F37" s="652"/>
      <c r="G37" s="590"/>
      <c r="H37" s="590"/>
      <c r="I37" s="591"/>
      <c r="J37" s="656"/>
      <c r="K37" s="656"/>
      <c r="L37" s="656"/>
      <c r="M37" s="656"/>
      <c r="N37" s="656"/>
      <c r="O37" s="656"/>
      <c r="P37" s="656"/>
      <c r="Q37" s="656"/>
      <c r="R37" s="656"/>
      <c r="S37" s="656"/>
      <c r="T37" s="656"/>
    </row>
    <row r="38" spans="2:20" s="651" customFormat="1" ht="18" customHeight="1" thickBot="1">
      <c r="B38" s="649" t="s">
        <v>272</v>
      </c>
      <c r="C38" s="649"/>
      <c r="D38" s="649"/>
      <c r="E38" s="650"/>
      <c r="F38" s="664"/>
      <c r="G38" s="664"/>
      <c r="H38" s="664"/>
      <c r="I38" s="665"/>
      <c r="J38" s="664"/>
      <c r="K38" s="664"/>
      <c r="L38" s="664"/>
      <c r="M38" s="664"/>
      <c r="N38" s="664"/>
      <c r="O38" s="664"/>
      <c r="P38" s="661"/>
      <c r="Q38" s="661"/>
      <c r="R38" s="661"/>
      <c r="S38" s="661"/>
      <c r="T38" s="661"/>
    </row>
    <row r="39" spans="2:20" ht="14.4" thickTop="1"/>
    <row r="40" spans="2:20" ht="24" customHeight="1">
      <c r="B40" s="666" t="s">
        <v>273</v>
      </c>
      <c r="C40" s="666" t="s">
        <v>274</v>
      </c>
      <c r="D40" s="666"/>
      <c r="E40" s="666"/>
      <c r="F40" s="666"/>
      <c r="G40" s="666"/>
      <c r="H40" s="666" t="s">
        <v>275</v>
      </c>
      <c r="I40" s="666"/>
      <c r="J40" s="666"/>
      <c r="K40" s="667"/>
    </row>
    <row r="41" spans="2:20" ht="18">
      <c r="B41" s="668"/>
      <c r="C41" s="669" t="s">
        <v>14</v>
      </c>
      <c r="D41" s="669" t="s">
        <v>15</v>
      </c>
      <c r="E41" s="669" t="s">
        <v>16</v>
      </c>
      <c r="F41" s="669" t="s">
        <v>90</v>
      </c>
      <c r="G41" s="668"/>
      <c r="H41" s="669" t="s">
        <v>14</v>
      </c>
      <c r="I41" s="669" t="s">
        <v>15</v>
      </c>
      <c r="J41" s="669" t="s">
        <v>16</v>
      </c>
      <c r="K41" s="669" t="s">
        <v>90</v>
      </c>
      <c r="M41" s="703"/>
      <c r="N41" s="703"/>
      <c r="P41" s="703"/>
      <c r="Q41" s="703"/>
    </row>
    <row r="42" spans="2:20" ht="19.5" customHeight="1" thickBot="1">
      <c r="B42" s="668"/>
      <c r="C42" s="669" t="s">
        <v>289</v>
      </c>
      <c r="D42" s="669" t="s">
        <v>289</v>
      </c>
      <c r="E42" s="669" t="s">
        <v>289</v>
      </c>
      <c r="F42" s="669" t="s">
        <v>289</v>
      </c>
      <c r="G42" s="668"/>
      <c r="H42" s="669" t="s">
        <v>289</v>
      </c>
      <c r="I42" s="669" t="s">
        <v>289</v>
      </c>
      <c r="J42" s="669" t="s">
        <v>289</v>
      </c>
      <c r="K42" s="669" t="s">
        <v>289</v>
      </c>
      <c r="M42" s="703"/>
      <c r="N42" s="703"/>
      <c r="P42" s="703"/>
      <c r="Q42" s="703"/>
    </row>
    <row r="43" spans="2:20" ht="19.5" customHeight="1" thickBot="1">
      <c r="B43" s="615" t="s">
        <v>276</v>
      </c>
      <c r="C43" s="670">
        <f>C44+C45</f>
        <v>4422.6000000000004</v>
      </c>
      <c r="D43" s="670">
        <f t="shared" ref="D43:F43" si="3">D44+D45</f>
        <v>8845.2000000000025</v>
      </c>
      <c r="E43" s="670">
        <f t="shared" si="3"/>
        <v>9525.5999999999985</v>
      </c>
      <c r="F43" s="671">
        <f t="shared" si="3"/>
        <v>22793.4</v>
      </c>
      <c r="G43" s="668"/>
      <c r="H43" s="672">
        <f t="shared" ref="H43:J51" si="4">C43/12</f>
        <v>368.55</v>
      </c>
      <c r="I43" s="670">
        <f t="shared" si="4"/>
        <v>737.10000000000025</v>
      </c>
      <c r="J43" s="670">
        <f t="shared" si="4"/>
        <v>793.79999999999984</v>
      </c>
      <c r="K43" s="671">
        <f t="shared" ref="K43" si="5">K44+K45</f>
        <v>1899.4499999999998</v>
      </c>
    </row>
    <row r="44" spans="2:20" ht="19.5" customHeight="1">
      <c r="B44" s="616" t="s">
        <v>277</v>
      </c>
      <c r="C44" s="673">
        <f>'Revenue OFT_2'!E29</f>
        <v>2653.5599999999995</v>
      </c>
      <c r="D44" s="673">
        <f>'Revenue OFT_2'!F29</f>
        <v>5307.1200000000017</v>
      </c>
      <c r="E44" s="673">
        <f>'Revenue OFT_2'!G29</f>
        <v>5715.3599999999979</v>
      </c>
      <c r="F44" s="674">
        <f>SUM(C44,D44,E44)</f>
        <v>13676.039999999999</v>
      </c>
      <c r="G44" s="668"/>
      <c r="H44" s="675">
        <f>C44/12</f>
        <v>221.12999999999997</v>
      </c>
      <c r="I44" s="673">
        <f>D44/12</f>
        <v>442.26000000000016</v>
      </c>
      <c r="J44" s="673">
        <f t="shared" si="4"/>
        <v>476.2799999999998</v>
      </c>
      <c r="K44" s="674">
        <f>SUM(H44,I44,J44)</f>
        <v>1139.6699999999998</v>
      </c>
      <c r="M44" s="703"/>
      <c r="N44" s="703"/>
      <c r="P44" s="703"/>
      <c r="Q44" s="703"/>
    </row>
    <row r="45" spans="2:20" ht="19.5" customHeight="1">
      <c r="B45" s="617" t="s">
        <v>162</v>
      </c>
      <c r="C45" s="676">
        <f>'Revenue OFT_2'!E30</f>
        <v>1769.0400000000004</v>
      </c>
      <c r="D45" s="676">
        <f>'Revenue OFT_2'!F30</f>
        <v>3538.0800000000013</v>
      </c>
      <c r="E45" s="676">
        <f>'Revenue OFT_2'!G30</f>
        <v>3810.24</v>
      </c>
      <c r="F45" s="677">
        <f>SUM(C45,D45,E45)</f>
        <v>9117.36</v>
      </c>
      <c r="G45" s="668"/>
      <c r="H45" s="678">
        <f t="shared" si="4"/>
        <v>147.42000000000004</v>
      </c>
      <c r="I45" s="676">
        <f t="shared" si="4"/>
        <v>294.84000000000009</v>
      </c>
      <c r="J45" s="676">
        <f t="shared" si="4"/>
        <v>317.52</v>
      </c>
      <c r="K45" s="677">
        <f>SUM(H45,I45,J45)</f>
        <v>759.78000000000009</v>
      </c>
    </row>
    <row r="46" spans="2:20" ht="19.5" customHeight="1" thickBot="1">
      <c r="B46" s="618" t="s">
        <v>278</v>
      </c>
      <c r="C46" s="679">
        <f>'Revenue OFT_2'!E31</f>
        <v>884.52000000000021</v>
      </c>
      <c r="D46" s="679">
        <f>'Revenue OFT_2'!F31</f>
        <v>1769.0400000000006</v>
      </c>
      <c r="E46" s="679">
        <f>'Revenue OFT_2'!G31</f>
        <v>1905.12</v>
      </c>
      <c r="F46" s="680">
        <f>SUM(C46,D46,E46)</f>
        <v>4558.68</v>
      </c>
      <c r="G46" s="668"/>
      <c r="H46" s="681">
        <f t="shared" si="4"/>
        <v>73.710000000000022</v>
      </c>
      <c r="I46" s="679">
        <f t="shared" si="4"/>
        <v>147.42000000000004</v>
      </c>
      <c r="J46" s="679">
        <f t="shared" si="4"/>
        <v>158.76</v>
      </c>
      <c r="K46" s="680">
        <f>SUM(H46,I46,J46)</f>
        <v>379.89000000000004</v>
      </c>
      <c r="M46" s="703"/>
      <c r="N46" s="703"/>
      <c r="P46" s="703"/>
      <c r="Q46" s="703"/>
    </row>
    <row r="47" spans="2:20" ht="19.5" customHeight="1" thickBot="1">
      <c r="B47" s="615" t="s">
        <v>279</v>
      </c>
      <c r="C47" s="670">
        <f>SUM(C48:C51)</f>
        <v>2350</v>
      </c>
      <c r="D47" s="670">
        <f t="shared" ref="D47:E47" si="6">SUM(D48:D51)</f>
        <v>5388</v>
      </c>
      <c r="E47" s="670">
        <f t="shared" si="6"/>
        <v>6948</v>
      </c>
      <c r="F47" s="671">
        <f>SUM(F48:F51)</f>
        <v>14686</v>
      </c>
      <c r="G47" s="668"/>
      <c r="H47" s="672">
        <f t="shared" si="4"/>
        <v>195.83333333333334</v>
      </c>
      <c r="I47" s="670">
        <f t="shared" si="4"/>
        <v>449</v>
      </c>
      <c r="J47" s="670">
        <f t="shared" si="4"/>
        <v>579</v>
      </c>
      <c r="K47" s="671">
        <f t="shared" ref="K47" si="7">SUM(K48:K51)</f>
        <v>1223.8333333333335</v>
      </c>
    </row>
    <row r="48" spans="2:20" ht="19.5" customHeight="1">
      <c r="B48" s="616" t="s">
        <v>280</v>
      </c>
      <c r="C48" s="673">
        <f>'Revenue OFT_2'!E46</f>
        <v>1590</v>
      </c>
      <c r="D48" s="673">
        <f>'Revenue OFT_2'!F46</f>
        <v>3720</v>
      </c>
      <c r="E48" s="673">
        <f>'Revenue OFT_2'!G46</f>
        <v>4920</v>
      </c>
      <c r="F48" s="674">
        <f>SUM(C48,D48,E48)</f>
        <v>10230</v>
      </c>
      <c r="G48" s="668"/>
      <c r="H48" s="675">
        <f t="shared" si="4"/>
        <v>132.5</v>
      </c>
      <c r="I48" s="673">
        <f t="shared" si="4"/>
        <v>310</v>
      </c>
      <c r="J48" s="673">
        <f t="shared" si="4"/>
        <v>410</v>
      </c>
      <c r="K48" s="674">
        <f>SUM(H48,I48,J48)</f>
        <v>852.5</v>
      </c>
      <c r="M48" s="703"/>
      <c r="N48" s="703"/>
      <c r="P48" s="703"/>
      <c r="Q48" s="703"/>
    </row>
    <row r="49" spans="1:17" ht="19.5" customHeight="1">
      <c r="B49" s="617" t="s">
        <v>281</v>
      </c>
      <c r="C49" s="676">
        <f>'Revenue OFT_2'!E40</f>
        <v>709</v>
      </c>
      <c r="D49" s="676">
        <f>'Revenue OFT_2'!F40</f>
        <v>1560</v>
      </c>
      <c r="E49" s="676">
        <f>'Revenue OFT_2'!G40</f>
        <v>1908</v>
      </c>
      <c r="F49" s="677">
        <f>SUM(C49,D49,E49)</f>
        <v>4177</v>
      </c>
      <c r="G49" s="668"/>
      <c r="H49" s="678">
        <f t="shared" si="4"/>
        <v>59.083333333333336</v>
      </c>
      <c r="I49" s="676">
        <f t="shared" si="4"/>
        <v>130</v>
      </c>
      <c r="J49" s="676">
        <f t="shared" si="4"/>
        <v>159</v>
      </c>
      <c r="K49" s="677">
        <f>SUM(H49,I49,J49)</f>
        <v>348.08333333333337</v>
      </c>
    </row>
    <row r="50" spans="1:17" ht="19.5" customHeight="1">
      <c r="B50" s="617" t="s">
        <v>282</v>
      </c>
      <c r="C50" s="676">
        <f>'Revenue OFT_2'!E58</f>
        <v>51</v>
      </c>
      <c r="D50" s="676">
        <f>'Revenue OFT_2'!F58</f>
        <v>108</v>
      </c>
      <c r="E50" s="676">
        <f>'Revenue OFT_2'!G58</f>
        <v>120</v>
      </c>
      <c r="F50" s="677">
        <f>SUM(C50,D50,E50)</f>
        <v>279</v>
      </c>
      <c r="G50" s="668"/>
      <c r="H50" s="678">
        <f t="shared" si="4"/>
        <v>4.25</v>
      </c>
      <c r="I50" s="676">
        <f t="shared" si="4"/>
        <v>9</v>
      </c>
      <c r="J50" s="676">
        <f t="shared" si="4"/>
        <v>10</v>
      </c>
      <c r="K50" s="677">
        <f>SUM(H50,I50,J50)</f>
        <v>23.25</v>
      </c>
      <c r="M50" s="703"/>
      <c r="N50" s="703"/>
      <c r="P50" s="703"/>
      <c r="Q50" s="703"/>
    </row>
    <row r="51" spans="1:17" ht="19.5" customHeight="1" thickBot="1">
      <c r="B51" s="618" t="s">
        <v>283</v>
      </c>
      <c r="C51" s="679">
        <f>'Revenue OFT_2'!E52</f>
        <v>0</v>
      </c>
      <c r="D51" s="679">
        <f>'Revenue OFT_2'!F52</f>
        <v>0</v>
      </c>
      <c r="E51" s="679">
        <f>'Revenue OFT_2'!G52</f>
        <v>0</v>
      </c>
      <c r="F51" s="680">
        <f>SUM(C51,D51,E51)</f>
        <v>0</v>
      </c>
      <c r="G51" s="668"/>
      <c r="H51" s="681">
        <f t="shared" si="4"/>
        <v>0</v>
      </c>
      <c r="I51" s="679">
        <f t="shared" si="4"/>
        <v>0</v>
      </c>
      <c r="J51" s="679">
        <f t="shared" si="4"/>
        <v>0</v>
      </c>
      <c r="K51" s="680">
        <f>SUM(H51,I51,J51)</f>
        <v>0</v>
      </c>
    </row>
    <row r="52" spans="1:17" ht="19.5" customHeight="1" thickBot="1">
      <c r="B52" s="615"/>
      <c r="C52" s="670"/>
      <c r="D52" s="670"/>
      <c r="E52" s="670"/>
      <c r="F52" s="671"/>
      <c r="G52" s="668"/>
      <c r="H52" s="672"/>
      <c r="I52" s="670"/>
      <c r="J52" s="670"/>
      <c r="K52" s="671"/>
    </row>
    <row r="53" spans="1:17" ht="19.5" customHeight="1">
      <c r="B53" s="616" t="s">
        <v>341</v>
      </c>
      <c r="C53" s="673">
        <f>SUMIF('Revenue OFT_2'!$A:$A,Total_fin!$G30,'Revenue OFT_2'!E:E)/C48</f>
        <v>65000</v>
      </c>
      <c r="D53" s="673">
        <f>SUMIF('Revenue OFT_2'!$A:$A,Total_fin!$G30,'Revenue OFT_2'!F:F)/D48</f>
        <v>70000</v>
      </c>
      <c r="E53" s="673">
        <f>SUMIF('Revenue OFT_2'!$A:$A,Total_fin!$G30,'Revenue OFT_2'!G:G)/E48</f>
        <v>73500</v>
      </c>
      <c r="F53" s="674"/>
      <c r="G53" s="668"/>
      <c r="H53" s="675"/>
      <c r="I53" s="673"/>
      <c r="J53" s="673"/>
      <c r="K53" s="674"/>
      <c r="M53" s="703"/>
      <c r="N53" s="703"/>
      <c r="P53" s="703"/>
      <c r="Q53" s="703"/>
    </row>
    <row r="54" spans="1:17" ht="19.5" customHeight="1">
      <c r="B54" s="617" t="s">
        <v>342</v>
      </c>
      <c r="C54" s="676">
        <f>SUMIF('Revenue OFT_2'!$A:$A,Total_fin!$G29,'Revenue OFT_2'!E:E)/C49</f>
        <v>94000</v>
      </c>
      <c r="D54" s="676">
        <f>SUMIF('Revenue OFT_2'!$A:$A,Total_fin!$G29,'Revenue OFT_2'!F:F)/D49</f>
        <v>100000</v>
      </c>
      <c r="E54" s="676">
        <f>SUMIF('Revenue OFT_2'!$A:$A,Total_fin!$G29,'Revenue OFT_2'!G:G)/E49</f>
        <v>110000</v>
      </c>
      <c r="F54" s="677"/>
      <c r="G54" s="668"/>
      <c r="H54" s="678"/>
      <c r="I54" s="676"/>
      <c r="J54" s="676"/>
      <c r="K54" s="677"/>
    </row>
    <row r="55" spans="1:17" ht="19.5" customHeight="1">
      <c r="B55" s="617" t="s">
        <v>343</v>
      </c>
      <c r="C55" s="676">
        <f>SUMIF('Revenue OFT_2'!$A:$A,Total_fin!$G32,'Revenue OFT_2'!E:E)/C50</f>
        <v>135000</v>
      </c>
      <c r="D55" s="676">
        <f>SUMIF('Revenue OFT_2'!$A:$A,Total_fin!$G32,'Revenue OFT_2'!F:F)/D50</f>
        <v>145000</v>
      </c>
      <c r="E55" s="676">
        <f>SUMIF('Revenue OFT_2'!$A:$A,Total_fin!$G32,'Revenue OFT_2'!G:G)/E50</f>
        <v>150000</v>
      </c>
      <c r="F55" s="677"/>
      <c r="G55" s="668"/>
      <c r="H55" s="678"/>
      <c r="I55" s="676"/>
      <c r="J55" s="676"/>
      <c r="K55" s="677"/>
      <c r="M55" s="703"/>
      <c r="N55" s="703"/>
      <c r="P55" s="703"/>
      <c r="Q55" s="703"/>
    </row>
    <row r="56" spans="1:17" ht="19.5" customHeight="1" thickBot="1">
      <c r="B56" s="618" t="s">
        <v>344</v>
      </c>
      <c r="C56" s="679"/>
      <c r="D56" s="679"/>
      <c r="E56" s="679"/>
      <c r="F56" s="680"/>
      <c r="G56" s="668"/>
      <c r="H56" s="681"/>
      <c r="I56" s="679"/>
      <c r="J56" s="679"/>
      <c r="K56" s="680"/>
    </row>
    <row r="57" spans="1:17" ht="19.5" customHeight="1" thickBot="1">
      <c r="B57" s="615" t="s">
        <v>284</v>
      </c>
      <c r="C57" s="682">
        <f>C47/(C43*2)</f>
        <v>0.26568082123637676</v>
      </c>
      <c r="D57" s="682">
        <f t="shared" ref="D57:F60" si="8">D47/(D43*2)</f>
        <v>0.30457197123863783</v>
      </c>
      <c r="E57" s="682">
        <f t="shared" si="8"/>
        <v>0.36470143613000761</v>
      </c>
      <c r="F57" s="683">
        <f t="shared" si="8"/>
        <v>0.3221546588047417</v>
      </c>
      <c r="G57" s="668"/>
      <c r="H57" s="684">
        <f>H47/(H43*2)</f>
        <v>0.26568082123637682</v>
      </c>
      <c r="I57" s="682">
        <f t="shared" ref="I57:K60" si="9">I47/(I43*2)</f>
        <v>0.30457197123863783</v>
      </c>
      <c r="J57" s="682">
        <f t="shared" si="9"/>
        <v>0.36470143613000761</v>
      </c>
      <c r="K57" s="683">
        <f t="shared" si="9"/>
        <v>0.32215465880474181</v>
      </c>
      <c r="M57" s="703"/>
      <c r="N57" s="703"/>
      <c r="P57" s="703"/>
      <c r="Q57" s="703"/>
    </row>
    <row r="58" spans="1:17" ht="19.5" customHeight="1">
      <c r="B58" s="616" t="s">
        <v>285</v>
      </c>
      <c r="C58" s="685">
        <f>C48/(C44*2)</f>
        <v>0.29959752181974408</v>
      </c>
      <c r="D58" s="685">
        <f t="shared" si="8"/>
        <v>0.35047257269479482</v>
      </c>
      <c r="E58" s="685">
        <f t="shared" si="8"/>
        <v>0.43041908121273215</v>
      </c>
      <c r="F58" s="686">
        <f>F48/(F44*2)</f>
        <v>0.37401177533847518</v>
      </c>
      <c r="G58" s="668"/>
      <c r="H58" s="687">
        <f>H48/(H44*2)</f>
        <v>0.29959752181974408</v>
      </c>
      <c r="I58" s="685">
        <f t="shared" si="9"/>
        <v>0.35047257269479482</v>
      </c>
      <c r="J58" s="685">
        <f t="shared" si="9"/>
        <v>0.4304190812127322</v>
      </c>
      <c r="K58" s="686">
        <f t="shared" si="9"/>
        <v>0.37401177533847524</v>
      </c>
    </row>
    <row r="59" spans="1:17" ht="19.5" customHeight="1">
      <c r="B59" s="617" t="s">
        <v>286</v>
      </c>
      <c r="C59" s="688">
        <f>C49/(C45*2)</f>
        <v>0.20039117261339479</v>
      </c>
      <c r="D59" s="688">
        <f t="shared" si="8"/>
        <v>0.22045855379188706</v>
      </c>
      <c r="E59" s="688">
        <f t="shared" si="8"/>
        <v>0.25037792894935751</v>
      </c>
      <c r="F59" s="689">
        <f t="shared" si="8"/>
        <v>0.22906850228574938</v>
      </c>
      <c r="G59" s="668"/>
      <c r="H59" s="690">
        <f>H49/(H45*2)</f>
        <v>0.20039117261339479</v>
      </c>
      <c r="I59" s="688">
        <f t="shared" si="9"/>
        <v>0.22045855379188706</v>
      </c>
      <c r="J59" s="688">
        <f t="shared" si="9"/>
        <v>0.25037792894935751</v>
      </c>
      <c r="K59" s="689">
        <f t="shared" si="9"/>
        <v>0.22906850228574938</v>
      </c>
      <c r="M59" s="703"/>
      <c r="N59" s="703"/>
      <c r="P59" s="703"/>
      <c r="Q59" s="703"/>
    </row>
    <row r="60" spans="1:17" ht="19.5" customHeight="1">
      <c r="B60" s="617" t="s">
        <v>287</v>
      </c>
      <c r="C60" s="688">
        <f>C50/(C46*2)</f>
        <v>2.8829195495862155E-2</v>
      </c>
      <c r="D60" s="688">
        <f t="shared" si="8"/>
        <v>3.0525030525030514E-2</v>
      </c>
      <c r="E60" s="688">
        <f t="shared" si="8"/>
        <v>3.1494079113126731E-2</v>
      </c>
      <c r="F60" s="689">
        <f t="shared" si="8"/>
        <v>3.0600963436784329E-2</v>
      </c>
      <c r="G60" s="668"/>
      <c r="H60" s="690">
        <f>H50/(H46*2)</f>
        <v>2.8829195495862155E-2</v>
      </c>
      <c r="I60" s="688">
        <f t="shared" si="9"/>
        <v>3.0525030525030517E-2</v>
      </c>
      <c r="J60" s="688">
        <f t="shared" si="9"/>
        <v>3.1494079113126731E-2</v>
      </c>
      <c r="K60" s="689">
        <f t="shared" si="9"/>
        <v>3.0600963436784329E-2</v>
      </c>
    </row>
    <row r="61" spans="1:17" ht="19.5" customHeight="1" thickBot="1">
      <c r="B61" s="619" t="s">
        <v>288</v>
      </c>
      <c r="C61" s="691">
        <f>C51/(C45*2)</f>
        <v>0</v>
      </c>
      <c r="D61" s="691">
        <f t="shared" ref="D61:F61" si="10">D51/(D45*2)</f>
        <v>0</v>
      </c>
      <c r="E61" s="691">
        <f t="shared" si="10"/>
        <v>0</v>
      </c>
      <c r="F61" s="692">
        <f t="shared" si="10"/>
        <v>0</v>
      </c>
      <c r="G61" s="668"/>
      <c r="H61" s="693">
        <f>H51/(H45*2)</f>
        <v>0</v>
      </c>
      <c r="I61" s="691">
        <f t="shared" ref="I61:K61" si="11">I51/(I45*2)</f>
        <v>0</v>
      </c>
      <c r="J61" s="691">
        <f t="shared" si="11"/>
        <v>0</v>
      </c>
      <c r="K61" s="692">
        <f t="shared" si="11"/>
        <v>0</v>
      </c>
      <c r="M61" s="703"/>
      <c r="N61" s="703"/>
      <c r="P61" s="703"/>
      <c r="Q61" s="703"/>
    </row>
    <row r="62" spans="1:17" ht="8.25" customHeight="1">
      <c r="B62" s="279"/>
      <c r="C62" s="280"/>
      <c r="D62" s="280"/>
      <c r="E62" s="280"/>
      <c r="F62" s="280"/>
      <c r="H62" s="280"/>
      <c r="I62" s="280"/>
      <c r="J62" s="280"/>
      <c r="K62" s="280"/>
    </row>
    <row r="63" spans="1:17">
      <c r="A63" s="281"/>
    </row>
    <row r="65" spans="2:12" s="56" customFormat="1" ht="24" thickBot="1">
      <c r="B65" s="575" t="s">
        <v>442</v>
      </c>
      <c r="C65" s="576"/>
      <c r="D65" s="576"/>
      <c r="E65" s="577"/>
      <c r="F65" s="576"/>
      <c r="G65" s="576"/>
      <c r="H65" s="576"/>
      <c r="I65" s="577"/>
      <c r="J65" s="576"/>
      <c r="K65" s="576"/>
    </row>
    <row r="66" spans="2:12" ht="17.25" customHeight="1">
      <c r="B66" s="595"/>
      <c r="C66" s="596"/>
      <c r="D66" s="597" t="s">
        <v>337</v>
      </c>
      <c r="E66" s="573"/>
      <c r="F66" s="598"/>
      <c r="G66" s="599"/>
      <c r="H66" s="600"/>
      <c r="I66" s="601"/>
      <c r="J66" s="601"/>
      <c r="K66" s="601"/>
    </row>
    <row r="67" spans="2:12" ht="24.6" customHeight="1">
      <c r="B67" s="602" t="s">
        <v>47</v>
      </c>
      <c r="C67" s="603">
        <v>73.510595383238979</v>
      </c>
      <c r="D67" s="604">
        <f>D31</f>
        <v>0</v>
      </c>
      <c r="E67" s="573"/>
      <c r="F67" s="598"/>
      <c r="G67" s="599"/>
      <c r="H67" s="600"/>
      <c r="I67" s="601"/>
      <c r="J67" s="601"/>
      <c r="K67" s="601"/>
    </row>
    <row r="68" spans="2:12" ht="25.2" customHeight="1">
      <c r="B68" s="602" t="s">
        <v>49</v>
      </c>
      <c r="C68" s="603">
        <v>6.1258829486032482</v>
      </c>
      <c r="D68" s="604">
        <f>D32</f>
        <v>0</v>
      </c>
      <c r="E68" s="573"/>
      <c r="F68" s="605"/>
      <c r="G68" s="599"/>
      <c r="H68" s="600"/>
      <c r="I68" s="601"/>
      <c r="J68" s="601"/>
      <c r="K68" s="601"/>
    </row>
    <row r="69" spans="2:12" ht="36.6" customHeight="1">
      <c r="B69" s="602" t="s">
        <v>132</v>
      </c>
      <c r="C69" s="606">
        <v>-83109679.158433378</v>
      </c>
      <c r="D69" s="607" t="e">
        <f>D33</f>
        <v>#REF!</v>
      </c>
      <c r="E69" s="573"/>
      <c r="F69" s="608"/>
      <c r="G69" s="599"/>
      <c r="H69" s="600"/>
      <c r="I69" s="601"/>
      <c r="J69" s="601"/>
      <c r="K69" s="601"/>
    </row>
    <row r="70" spans="2:12" ht="33.6" customHeight="1">
      <c r="B70" s="602" t="s">
        <v>449</v>
      </c>
      <c r="C70" s="609">
        <v>0.16853173689687642</v>
      </c>
      <c r="D70" s="610" t="e">
        <f>D35</f>
        <v>#REF!</v>
      </c>
      <c r="E70" s="573"/>
      <c r="F70" s="277"/>
      <c r="G70" s="599"/>
      <c r="H70" s="600"/>
      <c r="I70" s="601"/>
      <c r="J70" s="601"/>
      <c r="K70" s="601"/>
    </row>
    <row r="71" spans="2:12" ht="17.25" customHeight="1">
      <c r="B71" s="573"/>
      <c r="C71" s="573"/>
      <c r="D71" s="573"/>
      <c r="E71" s="573"/>
      <c r="F71" s="611"/>
      <c r="G71" s="56"/>
      <c r="H71" s="574"/>
      <c r="I71" s="574"/>
      <c r="J71" s="574"/>
      <c r="K71" s="574"/>
    </row>
    <row r="72" spans="2:12" ht="17.25" customHeight="1">
      <c r="B72" s="573"/>
      <c r="C72" s="573"/>
      <c r="D72" s="573"/>
      <c r="E72" s="573"/>
      <c r="F72" s="611"/>
      <c r="G72" s="278"/>
      <c r="H72" s="278"/>
      <c r="I72" s="574"/>
      <c r="J72" s="56"/>
      <c r="K72" s="56"/>
    </row>
    <row r="73" spans="2:12">
      <c r="B73" s="612"/>
      <c r="C73" s="278"/>
      <c r="D73" s="613"/>
      <c r="E73" s="614"/>
      <c r="F73" s="611"/>
      <c r="G73" s="278"/>
      <c r="H73" s="278"/>
      <c r="I73" s="574"/>
      <c r="J73" s="56"/>
      <c r="K73" s="56"/>
    </row>
    <row r="74" spans="2:12">
      <c r="B74" s="612"/>
      <c r="C74" s="278"/>
      <c r="D74" s="613"/>
      <c r="E74" s="614"/>
      <c r="F74" s="611"/>
      <c r="G74" s="278"/>
      <c r="H74" s="278"/>
      <c r="I74" s="574"/>
      <c r="J74" s="56"/>
      <c r="K74" s="56"/>
    </row>
    <row r="75" spans="2:12" s="56" customFormat="1" ht="24" thickBot="1">
      <c r="B75" s="575" t="s">
        <v>444</v>
      </c>
      <c r="C75" s="576"/>
      <c r="D75" s="576"/>
      <c r="E75" s="577"/>
      <c r="F75" s="576"/>
      <c r="G75" s="576"/>
      <c r="H75" s="576"/>
      <c r="I75" s="577"/>
      <c r="J75" s="576"/>
      <c r="K75" s="576"/>
    </row>
    <row r="76" spans="2:12" ht="18">
      <c r="B76" s="620"/>
      <c r="C76" s="620"/>
      <c r="D76" s="620"/>
      <c r="E76" s="620"/>
      <c r="F76" s="620"/>
      <c r="G76" s="620"/>
      <c r="H76" s="620"/>
      <c r="I76" s="620"/>
      <c r="J76" s="620"/>
      <c r="K76" s="622"/>
    </row>
    <row r="77" spans="2:12" ht="18.600000000000001" thickBot="1">
      <c r="B77" s="620"/>
      <c r="C77" s="620" t="s">
        <v>337</v>
      </c>
      <c r="D77" s="620"/>
      <c r="E77" s="620"/>
      <c r="F77" s="620"/>
      <c r="G77" s="620"/>
      <c r="H77" s="620"/>
      <c r="I77" s="620"/>
      <c r="J77" s="620"/>
      <c r="K77" s="620"/>
      <c r="L77" s="620"/>
    </row>
    <row r="78" spans="2:12" ht="19.2" thickTop="1" thickBot="1">
      <c r="B78" s="623"/>
      <c r="C78" s="624" t="s">
        <v>14</v>
      </c>
      <c r="D78" s="624" t="s">
        <v>15</v>
      </c>
      <c r="E78" s="625" t="s">
        <v>16</v>
      </c>
      <c r="F78" s="620"/>
      <c r="G78" s="620"/>
      <c r="H78" s="620"/>
      <c r="I78" s="620"/>
      <c r="J78" s="620"/>
      <c r="K78" s="620"/>
      <c r="L78" s="620"/>
    </row>
    <row r="79" spans="2:12" ht="18">
      <c r="B79" s="626" t="s">
        <v>134</v>
      </c>
      <c r="C79" s="641">
        <f>'PL OFT_2'!D8</f>
        <v>210730609</v>
      </c>
      <c r="D79" s="641">
        <f>'PL OFT_2'!E8</f>
        <v>504328948</v>
      </c>
      <c r="E79" s="642">
        <f>'PL OFT_2'!F8</f>
        <v>657695388</v>
      </c>
      <c r="F79" s="620"/>
      <c r="G79" s="620"/>
      <c r="H79" s="620"/>
      <c r="I79" s="620"/>
      <c r="J79" s="620"/>
      <c r="K79" s="620"/>
      <c r="L79" s="620"/>
    </row>
    <row r="80" spans="2:12" ht="36">
      <c r="B80" s="626" t="s">
        <v>445</v>
      </c>
      <c r="C80" s="643">
        <f>'PL OFT_2'!D16</f>
        <v>149235261.66418755</v>
      </c>
      <c r="D80" s="643">
        <f>'PL OFT_2'!E16</f>
        <v>356627788.85547763</v>
      </c>
      <c r="E80" s="644">
        <f>'PL OFT_2'!F16</f>
        <v>463286213.9052552</v>
      </c>
      <c r="F80" s="620"/>
      <c r="G80" s="620"/>
      <c r="H80" s="620"/>
      <c r="I80" s="620"/>
      <c r="J80" s="620"/>
      <c r="K80" s="620"/>
      <c r="L80" s="620"/>
    </row>
    <row r="81" spans="2:12" ht="18">
      <c r="B81" s="626" t="s">
        <v>136</v>
      </c>
      <c r="C81" s="627">
        <f>C80/C79</f>
        <v>0.70818027989558718</v>
      </c>
      <c r="D81" s="627">
        <f t="shared" ref="D81:E81" si="12">D80/D79</f>
        <v>0.70713329121745683</v>
      </c>
      <c r="E81" s="628">
        <f t="shared" si="12"/>
        <v>0.70440848812103152</v>
      </c>
      <c r="F81" s="620"/>
      <c r="G81" s="620"/>
      <c r="H81" s="620"/>
      <c r="I81" s="620"/>
      <c r="J81" s="620"/>
      <c r="K81" s="620"/>
      <c r="L81" s="620"/>
    </row>
    <row r="82" spans="2:12" ht="18">
      <c r="B82" s="626" t="s">
        <v>446</v>
      </c>
      <c r="C82" s="643" t="e">
        <f>'PL OFT_2'!D18+'PL OFT_2'!D23+'PL OFT_2'!D26</f>
        <v>#REF!</v>
      </c>
      <c r="D82" s="643" t="e">
        <f>'PL OFT_2'!E18+'PL OFT_2'!E23+'PL OFT_2'!E26</f>
        <v>#REF!</v>
      </c>
      <c r="E82" s="644" t="e">
        <f>'PL OFT_2'!F18+'PL OFT_2'!F23+'PL OFT_2'!F26</f>
        <v>#REF!</v>
      </c>
      <c r="F82" s="620"/>
      <c r="G82" s="620"/>
      <c r="H82" s="620"/>
      <c r="I82" s="620"/>
      <c r="J82" s="620"/>
      <c r="K82" s="620"/>
      <c r="L82" s="620"/>
    </row>
    <row r="83" spans="2:12" ht="18">
      <c r="B83" s="626" t="s">
        <v>138</v>
      </c>
      <c r="C83" s="645" t="e">
        <f>C80-C82</f>
        <v>#REF!</v>
      </c>
      <c r="D83" s="645" t="e">
        <f t="shared" ref="D83:E83" si="13">D80-D82</f>
        <v>#REF!</v>
      </c>
      <c r="E83" s="646" t="e">
        <f t="shared" si="13"/>
        <v>#REF!</v>
      </c>
      <c r="F83" s="620"/>
      <c r="G83" s="620"/>
      <c r="H83" s="620"/>
      <c r="I83" s="620"/>
      <c r="J83" s="620"/>
      <c r="K83" s="620"/>
      <c r="L83" s="620"/>
    </row>
    <row r="84" spans="2:12" ht="18.600000000000001" thickBot="1">
      <c r="B84" s="629" t="s">
        <v>46</v>
      </c>
      <c r="C84" s="630" t="e">
        <f>C83/C79</f>
        <v>#REF!</v>
      </c>
      <c r="D84" s="630" t="e">
        <f t="shared" ref="D84:E84" si="14">D83/D79</f>
        <v>#REF!</v>
      </c>
      <c r="E84" s="631" t="e">
        <f t="shared" si="14"/>
        <v>#REF!</v>
      </c>
      <c r="F84" s="620"/>
      <c r="G84" s="620"/>
      <c r="H84" s="620"/>
      <c r="I84" s="620"/>
      <c r="J84" s="620"/>
      <c r="K84" s="620"/>
      <c r="L84" s="620"/>
    </row>
    <row r="85" spans="2:12" ht="18.600000000000001" thickTop="1">
      <c r="B85" s="647"/>
      <c r="C85" s="648"/>
      <c r="D85" s="648"/>
      <c r="E85" s="648"/>
      <c r="F85" s="620"/>
      <c r="G85" s="620"/>
      <c r="H85" s="620"/>
      <c r="I85" s="620"/>
      <c r="J85" s="620"/>
      <c r="K85" s="620"/>
      <c r="L85" s="620"/>
    </row>
    <row r="86" spans="2:12" ht="18.600000000000001" thickBot="1">
      <c r="B86" s="620"/>
      <c r="C86" s="621" t="s">
        <v>274</v>
      </c>
      <c r="D86" s="621"/>
      <c r="E86" s="621"/>
      <c r="F86" s="621"/>
      <c r="G86" s="621"/>
      <c r="H86" s="621" t="s">
        <v>443</v>
      </c>
      <c r="I86" s="620"/>
      <c r="J86" s="620"/>
      <c r="K86" s="622"/>
    </row>
    <row r="87" spans="2:12" ht="18.600000000000001" thickBot="1">
      <c r="B87" s="615" t="s">
        <v>447</v>
      </c>
      <c r="C87" s="632">
        <f>SUM(C88:C92)</f>
        <v>204814680</v>
      </c>
      <c r="D87" s="632">
        <f t="shared" ref="D87:E87" si="15">SUM(D88:D92)</f>
        <v>488560408</v>
      </c>
      <c r="E87" s="632">
        <f t="shared" si="15"/>
        <v>650904888</v>
      </c>
      <c r="F87" s="632">
        <f>SUM(F88:F94)</f>
        <v>1372754945</v>
      </c>
      <c r="G87" s="620"/>
      <c r="H87" s="615" t="s">
        <v>447</v>
      </c>
      <c r="I87" s="633">
        <f>SUM(I88:I94)</f>
        <v>17560884.083333332</v>
      </c>
      <c r="J87" s="633">
        <f t="shared" ref="J87:K87" si="16">SUM(J88:J94)</f>
        <v>42027412.333333336</v>
      </c>
      <c r="K87" s="633">
        <f t="shared" si="16"/>
        <v>54807949</v>
      </c>
    </row>
    <row r="88" spans="2:12" ht="18">
      <c r="B88" s="616" t="s">
        <v>164</v>
      </c>
      <c r="C88" s="634">
        <f>'Revenue OFT_2'!E41</f>
        <v>66646000</v>
      </c>
      <c r="D88" s="634">
        <f>'Revenue OFT_2'!F41</f>
        <v>156000000</v>
      </c>
      <c r="E88" s="634">
        <f>'Revenue OFT_2'!G41</f>
        <v>209880000</v>
      </c>
      <c r="F88" s="635">
        <f>SUM(C88:E88)</f>
        <v>432526000</v>
      </c>
      <c r="G88" s="620"/>
      <c r="H88" s="616" t="s">
        <v>164</v>
      </c>
      <c r="I88" s="634">
        <f>C88/12</f>
        <v>5553833.333333333</v>
      </c>
      <c r="J88" s="634">
        <f t="shared" ref="J88:K88" si="17">D88/12</f>
        <v>13000000</v>
      </c>
      <c r="K88" s="635">
        <f t="shared" si="17"/>
        <v>17490000</v>
      </c>
    </row>
    <row r="89" spans="2:12" ht="18">
      <c r="B89" s="617" t="s">
        <v>169</v>
      </c>
      <c r="C89" s="636">
        <f>'Revenue OFT_2'!E47</f>
        <v>103350000</v>
      </c>
      <c r="D89" s="636">
        <f>'Revenue OFT_2'!F47</f>
        <v>260400000</v>
      </c>
      <c r="E89" s="636">
        <f>'Revenue OFT_2'!G47</f>
        <v>361620000</v>
      </c>
      <c r="F89" s="635">
        <f t="shared" ref="F89:F92" si="18">SUM(C89:E89)</f>
        <v>725370000</v>
      </c>
      <c r="G89" s="620"/>
      <c r="H89" s="617" t="s">
        <v>169</v>
      </c>
      <c r="I89" s="634">
        <f t="shared" ref="I89:I94" si="19">C89/12</f>
        <v>8612500</v>
      </c>
      <c r="J89" s="634">
        <f t="shared" ref="J89:J94" si="20">D89/12</f>
        <v>21700000</v>
      </c>
      <c r="K89" s="635">
        <f t="shared" ref="K89:K94" si="21">E89/12</f>
        <v>30135000</v>
      </c>
    </row>
    <row r="90" spans="2:12" ht="18">
      <c r="B90" s="617" t="s">
        <v>179</v>
      </c>
      <c r="C90" s="636">
        <f>'Revenue OFT_2'!E59</f>
        <v>6885000</v>
      </c>
      <c r="D90" s="636">
        <f>'Revenue OFT_2'!F59</f>
        <v>15660000</v>
      </c>
      <c r="E90" s="636">
        <f>'Revenue OFT_2'!G59</f>
        <v>18000000</v>
      </c>
      <c r="F90" s="635">
        <f t="shared" si="18"/>
        <v>40545000</v>
      </c>
      <c r="G90" s="620"/>
      <c r="H90" s="617" t="s">
        <v>179</v>
      </c>
      <c r="I90" s="634">
        <f t="shared" si="19"/>
        <v>573750</v>
      </c>
      <c r="J90" s="634">
        <f t="shared" si="20"/>
        <v>1305000</v>
      </c>
      <c r="K90" s="635">
        <f t="shared" si="21"/>
        <v>1500000</v>
      </c>
    </row>
    <row r="91" spans="2:12" ht="18">
      <c r="B91" s="618" t="s">
        <v>448</v>
      </c>
      <c r="C91" s="637">
        <f>'Revenue OFT_2'!E74</f>
        <v>12454580</v>
      </c>
      <c r="D91" s="637">
        <f>'Revenue OFT_2'!F74</f>
        <v>22446388</v>
      </c>
      <c r="E91" s="637">
        <f>'Revenue OFT_2'!G74</f>
        <v>24731328</v>
      </c>
      <c r="F91" s="635">
        <f t="shared" si="18"/>
        <v>59632296</v>
      </c>
      <c r="G91" s="620"/>
      <c r="H91" s="618" t="s">
        <v>448</v>
      </c>
      <c r="I91" s="634">
        <f t="shared" si="19"/>
        <v>1037881.6666666666</v>
      </c>
      <c r="J91" s="634">
        <f t="shared" si="20"/>
        <v>1870532.3333333333</v>
      </c>
      <c r="K91" s="635">
        <f t="shared" si="21"/>
        <v>2060944</v>
      </c>
    </row>
    <row r="92" spans="2:12" ht="18">
      <c r="B92" s="618" t="s">
        <v>19</v>
      </c>
      <c r="C92" s="637">
        <f>'Revenue OFT_2'!E35</f>
        <v>15479100</v>
      </c>
      <c r="D92" s="637">
        <f>'Revenue OFT_2'!F35</f>
        <v>34054020</v>
      </c>
      <c r="E92" s="637">
        <f>'Revenue OFT_2'!G35</f>
        <v>36673560</v>
      </c>
      <c r="F92" s="635">
        <f t="shared" si="18"/>
        <v>86206680</v>
      </c>
      <c r="G92" s="620"/>
      <c r="H92" s="618" t="s">
        <v>19</v>
      </c>
      <c r="I92" s="634">
        <f t="shared" si="19"/>
        <v>1289925</v>
      </c>
      <c r="J92" s="634">
        <f t="shared" si="20"/>
        <v>2837835</v>
      </c>
      <c r="K92" s="635">
        <f t="shared" si="21"/>
        <v>3056130</v>
      </c>
    </row>
    <row r="93" spans="2:12" ht="18">
      <c r="B93" s="618" t="s">
        <v>450</v>
      </c>
      <c r="C93" s="637">
        <f>'Revenue OFT_2'!E90</f>
        <v>4324000</v>
      </c>
      <c r="D93" s="637">
        <f>'Revenue OFT_2'!F90</f>
        <v>11880000</v>
      </c>
      <c r="E93" s="637">
        <f>'Revenue OFT_2'!G90</f>
        <v>1485000</v>
      </c>
      <c r="F93" s="635">
        <f t="shared" ref="F93:F94" si="22">SUM(C93:E93)</f>
        <v>17689000</v>
      </c>
      <c r="H93" s="618" t="s">
        <v>450</v>
      </c>
      <c r="I93" s="634">
        <f t="shared" si="19"/>
        <v>360333.33333333331</v>
      </c>
      <c r="J93" s="634">
        <f t="shared" si="20"/>
        <v>990000</v>
      </c>
      <c r="K93" s="635">
        <f t="shared" si="21"/>
        <v>123750</v>
      </c>
    </row>
    <row r="94" spans="2:12" ht="18.600000000000001" thickBot="1">
      <c r="B94" s="619" t="s">
        <v>451</v>
      </c>
      <c r="C94" s="638">
        <f>'Revenue OFT_2'!E91</f>
        <v>1591929</v>
      </c>
      <c r="D94" s="638">
        <f>'Revenue OFT_2'!F91</f>
        <v>3888540</v>
      </c>
      <c r="E94" s="638">
        <f>'Revenue OFT_2'!G91</f>
        <v>5305499.9999999991</v>
      </c>
      <c r="F94" s="640">
        <f t="shared" si="22"/>
        <v>10785969</v>
      </c>
      <c r="H94" s="619" t="s">
        <v>451</v>
      </c>
      <c r="I94" s="639">
        <f t="shared" si="19"/>
        <v>132660.75</v>
      </c>
      <c r="J94" s="639">
        <f t="shared" si="20"/>
        <v>324045</v>
      </c>
      <c r="K94" s="640">
        <f t="shared" si="21"/>
        <v>442124.99999999994</v>
      </c>
    </row>
  </sheetData>
  <mergeCells count="22">
    <mergeCell ref="M57:N57"/>
    <mergeCell ref="P57:Q57"/>
    <mergeCell ref="M59:N59"/>
    <mergeCell ref="P59:Q59"/>
    <mergeCell ref="M61:N61"/>
    <mergeCell ref="P61:Q61"/>
    <mergeCell ref="M41:N41"/>
    <mergeCell ref="P41:Q41"/>
    <mergeCell ref="M42:N42"/>
    <mergeCell ref="P42:Q42"/>
    <mergeCell ref="M44:N44"/>
    <mergeCell ref="P44:Q44"/>
    <mergeCell ref="M53:N53"/>
    <mergeCell ref="P53:Q53"/>
    <mergeCell ref="M55:N55"/>
    <mergeCell ref="P55:Q55"/>
    <mergeCell ref="M46:N46"/>
    <mergeCell ref="P46:Q46"/>
    <mergeCell ref="M48:N48"/>
    <mergeCell ref="P48:Q48"/>
    <mergeCell ref="M50:N50"/>
    <mergeCell ref="P50:Q50"/>
  </mergeCells>
  <conditionalFormatting sqref="A40:M40 O40:XFD40 A24:XFD24 K25:XFD35 A25:I26 A36:XFD39 M43 M45 M47 M49 M51 M58 M60 O43:Q43 O45:Q45 O47:Q47 O49:Q49 O51:Q51 O58:Q58 O60:Q60 O41:O42 O44 O46 O48 O50 O57 O59 O61 A62:XFD63 A95:XFD1048576 G64:XFD64 G26:L36 R57:XFD61 A57:L61 A41:L51 R41:XFD51 B7:C18 A74 D32:F35 D27:I31 A27:C35 B66:XFD74 L76:XFD76 M77:XFD85 A76:A94 G93:G94 L86:XFD94">
    <cfRule type="cellIs" dxfId="210" priority="114" operator="equal">
      <formula>0</formula>
    </cfRule>
  </conditionalFormatting>
  <conditionalFormatting sqref="B44:B46 B58:B60 B62">
    <cfRule type="cellIs" dxfId="209" priority="111" operator="equal">
      <formula>0</formula>
    </cfRule>
  </conditionalFormatting>
  <conditionalFormatting sqref="B58">
    <cfRule type="cellIs" dxfId="208" priority="110" operator="equal">
      <formula>0</formula>
    </cfRule>
  </conditionalFormatting>
  <conditionalFormatting sqref="B48:B50">
    <cfRule type="cellIs" dxfId="207" priority="109" operator="equal">
      <formula>0</formula>
    </cfRule>
  </conditionalFormatting>
  <conditionalFormatting sqref="B43">
    <cfRule type="cellIs" dxfId="206" priority="104" operator="equal">
      <formula>0</formula>
    </cfRule>
  </conditionalFormatting>
  <conditionalFormatting sqref="B51">
    <cfRule type="cellIs" dxfId="205" priority="103" operator="equal">
      <formula>0</formula>
    </cfRule>
  </conditionalFormatting>
  <conditionalFormatting sqref="B57">
    <cfRule type="cellIs" dxfId="204" priority="100" operator="equal">
      <formula>0</formula>
    </cfRule>
  </conditionalFormatting>
  <conditionalFormatting sqref="B61">
    <cfRule type="cellIs" dxfId="203" priority="102" operator="equal">
      <formula>0</formula>
    </cfRule>
  </conditionalFormatting>
  <conditionalFormatting sqref="B47">
    <cfRule type="cellIs" dxfId="202" priority="101" operator="equal">
      <formula>0</formula>
    </cfRule>
  </conditionalFormatting>
  <conditionalFormatting sqref="P41:P42 P44 P46 P48 P50 P57 P59 P61">
    <cfRule type="cellIs" dxfId="201" priority="84" operator="equal">
      <formula>0</formula>
    </cfRule>
  </conditionalFormatting>
  <conditionalFormatting sqref="M41:M42 M44 M46 M48 M50 M57 M59 M61">
    <cfRule type="cellIs" dxfId="200" priority="83" operator="equal">
      <formula>0</formula>
    </cfRule>
  </conditionalFormatting>
  <conditionalFormatting sqref="R52:XFD56 M52 M54 M56 O52:Q52 O54:Q54 O56:Q56 O53 O55 A52:L56">
    <cfRule type="cellIs" dxfId="199" priority="82" operator="equal">
      <formula>0</formula>
    </cfRule>
  </conditionalFormatting>
  <conditionalFormatting sqref="B53:B55">
    <cfRule type="cellIs" dxfId="198" priority="81" operator="equal">
      <formula>0</formula>
    </cfRule>
  </conditionalFormatting>
  <conditionalFormatting sqref="B56">
    <cfRule type="cellIs" dxfId="197" priority="80" operator="equal">
      <formula>0</formula>
    </cfRule>
  </conditionalFormatting>
  <conditionalFormatting sqref="B52">
    <cfRule type="cellIs" dxfId="196" priority="79" operator="equal">
      <formula>0</formula>
    </cfRule>
  </conditionalFormatting>
  <conditionalFormatting sqref="P53 P55">
    <cfRule type="cellIs" dxfId="195" priority="78" operator="equal">
      <formula>0</formula>
    </cfRule>
  </conditionalFormatting>
  <conditionalFormatting sqref="M53 M55">
    <cfRule type="cellIs" dxfId="194" priority="77" operator="equal">
      <formula>0</formula>
    </cfRule>
  </conditionalFormatting>
  <conditionalFormatting sqref="C3:K3">
    <cfRule type="cellIs" dxfId="193" priority="63" operator="equal">
      <formula>0</formula>
    </cfRule>
  </conditionalFormatting>
  <conditionalFormatting sqref="B3">
    <cfRule type="cellIs" dxfId="192" priority="62" operator="equal">
      <formula>0</formula>
    </cfRule>
  </conditionalFormatting>
  <conditionalFormatting sqref="B5:C5">
    <cfRule type="cellIs" dxfId="191" priority="61" operator="equal">
      <formula>0</formula>
    </cfRule>
  </conditionalFormatting>
  <conditionalFormatting sqref="B5">
    <cfRule type="cellIs" dxfId="190" priority="60" operator="equal">
      <formula>0</formula>
    </cfRule>
  </conditionalFormatting>
  <conditionalFormatting sqref="B19:C20">
    <cfRule type="cellIs" dxfId="189" priority="58" operator="equal">
      <formula>0</formula>
    </cfRule>
  </conditionalFormatting>
  <conditionalFormatting sqref="B19:B20">
    <cfRule type="cellIs" dxfId="188" priority="57" operator="equal">
      <formula>0</formula>
    </cfRule>
  </conditionalFormatting>
  <conditionalFormatting sqref="B76 D76:K76 G77:G85 J86:K86 F93:F94 B87:G92 B93:E93 H87:H93 I87:K94">
    <cfRule type="cellIs" dxfId="187" priority="56" operator="equal">
      <formula>0</formula>
    </cfRule>
  </conditionalFormatting>
  <conditionalFormatting sqref="B78:E78 C79:E83">
    <cfRule type="cellIs" dxfId="186" priority="43" operator="equal">
      <formula>0</formula>
    </cfRule>
  </conditionalFormatting>
  <conditionalFormatting sqref="B78">
    <cfRule type="cellIs" dxfId="185" priority="42" operator="equal">
      <formula>0</formula>
    </cfRule>
  </conditionalFormatting>
  <conditionalFormatting sqref="C84:E85">
    <cfRule type="cellIs" dxfId="184" priority="41" operator="equal">
      <formula>0</formula>
    </cfRule>
  </conditionalFormatting>
  <conditionalFormatting sqref="B79:B80 B82:B85">
    <cfRule type="cellIs" dxfId="183" priority="40" operator="equal">
      <formula>0</formula>
    </cfRule>
  </conditionalFormatting>
  <conditionalFormatting sqref="B79:B80 B82:B85">
    <cfRule type="cellIs" dxfId="182" priority="39" operator="equal">
      <formula>0</formula>
    </cfRule>
  </conditionalFormatting>
  <conditionalFormatting sqref="B81">
    <cfRule type="cellIs" dxfId="181" priority="32" operator="equal">
      <formula>0</formula>
    </cfRule>
  </conditionalFormatting>
  <conditionalFormatting sqref="B81">
    <cfRule type="cellIs" dxfId="180" priority="31" operator="equal">
      <formula>0</formula>
    </cfRule>
  </conditionalFormatting>
  <conditionalFormatting sqref="B88:B90">
    <cfRule type="cellIs" dxfId="179" priority="27" operator="equal">
      <formula>0</formula>
    </cfRule>
  </conditionalFormatting>
  <conditionalFormatting sqref="B91:B92">
    <cfRule type="cellIs" dxfId="178" priority="26" operator="equal">
      <formula>0</formula>
    </cfRule>
  </conditionalFormatting>
  <conditionalFormatting sqref="B87">
    <cfRule type="cellIs" dxfId="177" priority="25" operator="equal">
      <formula>0</formula>
    </cfRule>
  </conditionalFormatting>
  <conditionalFormatting sqref="H87">
    <cfRule type="cellIs" dxfId="176" priority="20" operator="equal">
      <formula>0</formula>
    </cfRule>
  </conditionalFormatting>
  <conditionalFormatting sqref="C65:K65">
    <cfRule type="cellIs" dxfId="175" priority="15" operator="equal">
      <formula>0</formula>
    </cfRule>
  </conditionalFormatting>
  <conditionalFormatting sqref="B65">
    <cfRule type="cellIs" dxfId="174" priority="14" operator="equal">
      <formula>0</formula>
    </cfRule>
  </conditionalFormatting>
  <conditionalFormatting sqref="C75:K75">
    <cfRule type="cellIs" dxfId="173" priority="11" operator="equal">
      <formula>0</formula>
    </cfRule>
  </conditionalFormatting>
  <conditionalFormatting sqref="B75">
    <cfRule type="cellIs" dxfId="172" priority="10" operator="equal">
      <formula>0</formula>
    </cfRule>
  </conditionalFormatting>
  <conditionalFormatting sqref="C86:I86">
    <cfRule type="cellIs" dxfId="171" priority="9" operator="equal">
      <formula>0</formula>
    </cfRule>
  </conditionalFormatting>
  <conditionalFormatting sqref="B93">
    <cfRule type="cellIs" dxfId="170" priority="8" operator="equal">
      <formula>0</formula>
    </cfRule>
  </conditionalFormatting>
  <conditionalFormatting sqref="B94:E94">
    <cfRule type="cellIs" dxfId="169" priority="7" operator="equal">
      <formula>0</formula>
    </cfRule>
  </conditionalFormatting>
  <conditionalFormatting sqref="B94">
    <cfRule type="cellIs" dxfId="168" priority="6" operator="equal">
      <formula>0</formula>
    </cfRule>
  </conditionalFormatting>
  <conditionalFormatting sqref="H88:H90">
    <cfRule type="cellIs" dxfId="167" priority="5" operator="equal">
      <formula>0</formula>
    </cfRule>
  </conditionalFormatting>
  <conditionalFormatting sqref="H91:H92">
    <cfRule type="cellIs" dxfId="166" priority="4" operator="equal">
      <formula>0</formula>
    </cfRule>
  </conditionalFormatting>
  <conditionalFormatting sqref="H93">
    <cfRule type="cellIs" dxfId="165" priority="3" operator="equal">
      <formula>0</formula>
    </cfRule>
  </conditionalFormatting>
  <conditionalFormatting sqref="H94">
    <cfRule type="cellIs" dxfId="164" priority="2" operator="equal">
      <formula>0</formula>
    </cfRule>
  </conditionalFormatting>
  <conditionalFormatting sqref="H94">
    <cfRule type="cellIs" dxfId="163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G92"/>
  <sheetViews>
    <sheetView showGridLines="0" zoomScaleNormal="100" workbookViewId="0">
      <pane xSplit="1" ySplit="3" topLeftCell="AP4" activePane="bottomRight" state="frozen"/>
      <selection activeCell="H67" sqref="H67"/>
      <selection pane="topRight" activeCell="H67" sqref="H67"/>
      <selection pane="bottomLeft" activeCell="H67" sqref="H67"/>
      <selection pane="bottomRight" activeCell="C21" sqref="C21"/>
    </sheetView>
  </sheetViews>
  <sheetFormatPr defaultColWidth="9.109375" defaultRowHeight="13.8" outlineLevelCol="1"/>
  <cols>
    <col min="1" max="1" width="35.44140625" style="223" customWidth="1"/>
    <col min="2" max="2" width="14.44140625" style="224" customWidth="1"/>
    <col min="3" max="5" width="8" style="223" customWidth="1" outlineLevel="1"/>
    <col min="6" max="11" width="7.88671875" style="223" customWidth="1" outlineLevel="1"/>
    <col min="12" max="18" width="8.44140625" style="223" customWidth="1" outlineLevel="1"/>
    <col min="19" max="19" width="9.44140625" style="223" customWidth="1" outlineLevel="1"/>
    <col min="20" max="20" width="8.88671875" style="223" customWidth="1" outlineLevel="1"/>
    <col min="21" max="21" width="9.33203125" style="223" customWidth="1" outlineLevel="1"/>
    <col min="22" max="22" width="9" style="223" customWidth="1" outlineLevel="1"/>
    <col min="23" max="23" width="8.44140625" style="223" customWidth="1" outlineLevel="1"/>
    <col min="24" max="24" width="9.109375" style="223" customWidth="1" outlineLevel="1"/>
    <col min="25" max="25" width="9.33203125" style="223" customWidth="1" outlineLevel="1"/>
    <col min="26" max="26" width="8.44140625" style="223" customWidth="1" outlineLevel="1"/>
    <col min="27" max="30" width="9.33203125" style="223" customWidth="1" outlineLevel="1"/>
    <col min="31" max="31" width="9.44140625" style="223" customWidth="1" outlineLevel="1"/>
    <col min="32" max="32" width="8.88671875" style="223" customWidth="1" outlineLevel="1"/>
    <col min="33" max="33" width="9.44140625" style="223" customWidth="1" outlineLevel="1"/>
    <col min="34" max="38" width="9" style="223" customWidth="1" outlineLevel="1"/>
    <col min="39" max="41" width="11.109375" style="223" customWidth="1"/>
    <col min="42" max="42" width="14" style="224" customWidth="1"/>
    <col min="43" max="43" width="9.109375" style="223"/>
    <col min="44" max="44" width="35.44140625" style="223" customWidth="1"/>
    <col min="45" max="45" width="17.33203125" style="224" customWidth="1"/>
    <col min="46" max="48" width="8" style="223" hidden="1" customWidth="1" outlineLevel="1"/>
    <col min="49" max="54" width="7.88671875" style="223" hidden="1" customWidth="1" outlineLevel="1"/>
    <col min="55" max="61" width="8.44140625" style="223" hidden="1" customWidth="1" outlineLevel="1"/>
    <col min="62" max="62" width="9.44140625" style="223" hidden="1" customWidth="1" outlineLevel="1"/>
    <col min="63" max="63" width="8.88671875" style="223" hidden="1" customWidth="1" outlineLevel="1"/>
    <col min="64" max="64" width="9.33203125" style="223" hidden="1" customWidth="1" outlineLevel="1"/>
    <col min="65" max="65" width="9" style="223" hidden="1" customWidth="1" outlineLevel="1"/>
    <col min="66" max="66" width="8.44140625" style="223" hidden="1" customWidth="1" outlineLevel="1"/>
    <col min="67" max="67" width="9.109375" style="223" hidden="1" customWidth="1" outlineLevel="1"/>
    <col min="68" max="68" width="9.33203125" style="223" hidden="1" customWidth="1" outlineLevel="1"/>
    <col min="69" max="69" width="8.44140625" style="223" hidden="1" customWidth="1" outlineLevel="1"/>
    <col min="70" max="73" width="9.33203125" style="223" hidden="1" customWidth="1" outlineLevel="1"/>
    <col min="74" max="74" width="9.44140625" style="223" hidden="1" customWidth="1" outlineLevel="1"/>
    <col min="75" max="75" width="8.88671875" style="223" hidden="1" customWidth="1" outlineLevel="1"/>
    <col min="76" max="76" width="9.44140625" style="223" hidden="1" customWidth="1" outlineLevel="1"/>
    <col min="77" max="81" width="9" style="223" hidden="1" customWidth="1" outlineLevel="1"/>
    <col min="82" max="82" width="11.109375" style="223" customWidth="1" collapsed="1"/>
    <col min="83" max="84" width="11.109375" style="223" customWidth="1"/>
    <col min="85" max="85" width="14.109375" style="224" customWidth="1"/>
    <col min="86" max="16384" width="9.109375" style="223"/>
  </cols>
  <sheetData>
    <row r="1" spans="1:85" s="194" customFormat="1" ht="29.25" customHeight="1">
      <c r="A1" s="191" t="str">
        <f>A8</f>
        <v>OFT</v>
      </c>
      <c r="B1" s="192"/>
      <c r="C1" s="193">
        <v>1</v>
      </c>
      <c r="D1" s="193">
        <v>2</v>
      </c>
      <c r="E1" s="193">
        <v>3</v>
      </c>
      <c r="F1" s="193">
        <v>4</v>
      </c>
      <c r="G1" s="193">
        <v>5</v>
      </c>
      <c r="H1" s="193">
        <v>6</v>
      </c>
      <c r="I1" s="193">
        <v>7</v>
      </c>
      <c r="J1" s="193">
        <v>8</v>
      </c>
      <c r="K1" s="193">
        <v>9</v>
      </c>
      <c r="L1" s="193">
        <v>10</v>
      </c>
      <c r="M1" s="193">
        <v>11</v>
      </c>
      <c r="N1" s="193">
        <v>12</v>
      </c>
      <c r="O1" s="193">
        <v>13</v>
      </c>
      <c r="P1" s="193">
        <v>14</v>
      </c>
      <c r="Q1" s="193">
        <v>15</v>
      </c>
      <c r="R1" s="193">
        <v>16</v>
      </c>
      <c r="S1" s="193">
        <v>17</v>
      </c>
      <c r="T1" s="193">
        <v>18</v>
      </c>
      <c r="U1" s="193">
        <v>19</v>
      </c>
      <c r="V1" s="193">
        <v>20</v>
      </c>
      <c r="W1" s="193">
        <v>21</v>
      </c>
      <c r="X1" s="193">
        <v>22</v>
      </c>
      <c r="Y1" s="193">
        <v>23</v>
      </c>
      <c r="Z1" s="193">
        <v>24</v>
      </c>
      <c r="AA1" s="193">
        <v>25</v>
      </c>
      <c r="AB1" s="193">
        <v>26</v>
      </c>
      <c r="AC1" s="193">
        <v>27</v>
      </c>
      <c r="AD1" s="193">
        <v>28</v>
      </c>
      <c r="AE1" s="193">
        <v>29</v>
      </c>
      <c r="AF1" s="193">
        <v>30</v>
      </c>
      <c r="AG1" s="193">
        <v>31</v>
      </c>
      <c r="AH1" s="193">
        <v>32</v>
      </c>
      <c r="AI1" s="193">
        <v>33</v>
      </c>
      <c r="AJ1" s="193">
        <v>34</v>
      </c>
      <c r="AK1" s="193">
        <v>35</v>
      </c>
      <c r="AL1" s="193">
        <v>36</v>
      </c>
      <c r="AM1" s="233"/>
      <c r="AN1" s="233"/>
      <c r="AO1" s="233"/>
      <c r="AP1" s="234"/>
      <c r="AR1" s="191" t="str">
        <f>AR8</f>
        <v>Optic</v>
      </c>
      <c r="AS1" s="192"/>
      <c r="AT1" s="193">
        <v>1</v>
      </c>
      <c r="AU1" s="193">
        <v>2</v>
      </c>
      <c r="AV1" s="193">
        <v>3</v>
      </c>
      <c r="AW1" s="193">
        <v>4</v>
      </c>
      <c r="AX1" s="193">
        <v>5</v>
      </c>
      <c r="AY1" s="193">
        <v>6</v>
      </c>
      <c r="AZ1" s="193">
        <v>7</v>
      </c>
      <c r="BA1" s="193">
        <v>8</v>
      </c>
      <c r="BB1" s="193">
        <v>9</v>
      </c>
      <c r="BC1" s="193">
        <v>10</v>
      </c>
      <c r="BD1" s="193">
        <v>11</v>
      </c>
      <c r="BE1" s="193">
        <v>12</v>
      </c>
      <c r="BF1" s="193">
        <v>13</v>
      </c>
      <c r="BG1" s="193">
        <v>14</v>
      </c>
      <c r="BH1" s="193">
        <v>15</v>
      </c>
      <c r="BI1" s="193">
        <v>16</v>
      </c>
      <c r="BJ1" s="193">
        <v>17</v>
      </c>
      <c r="BK1" s="193">
        <v>18</v>
      </c>
      <c r="BL1" s="193">
        <v>19</v>
      </c>
      <c r="BM1" s="193">
        <v>20</v>
      </c>
      <c r="BN1" s="193">
        <v>21</v>
      </c>
      <c r="BO1" s="193">
        <v>22</v>
      </c>
      <c r="BP1" s="193">
        <v>23</v>
      </c>
      <c r="BQ1" s="193">
        <v>24</v>
      </c>
      <c r="BR1" s="193">
        <v>25</v>
      </c>
      <c r="BS1" s="193">
        <v>26</v>
      </c>
      <c r="BT1" s="193">
        <v>27</v>
      </c>
      <c r="BU1" s="193">
        <v>28</v>
      </c>
      <c r="BV1" s="193">
        <v>29</v>
      </c>
      <c r="BW1" s="193">
        <v>30</v>
      </c>
      <c r="BX1" s="193">
        <v>31</v>
      </c>
      <c r="BY1" s="193">
        <v>32</v>
      </c>
      <c r="BZ1" s="193">
        <v>33</v>
      </c>
      <c r="CA1" s="193">
        <v>34</v>
      </c>
      <c r="CB1" s="193">
        <v>35</v>
      </c>
      <c r="CC1" s="193">
        <v>36</v>
      </c>
      <c r="CD1" s="233"/>
      <c r="CE1" s="233"/>
      <c r="CF1" s="233"/>
      <c r="CG1" s="234"/>
    </row>
    <row r="2" spans="1:85" s="194" customFormat="1">
      <c r="B2" s="195" t="s">
        <v>53</v>
      </c>
      <c r="C2" s="193" t="s">
        <v>14</v>
      </c>
      <c r="D2" s="193" t="s">
        <v>14</v>
      </c>
      <c r="E2" s="193" t="s">
        <v>14</v>
      </c>
      <c r="F2" s="193" t="s">
        <v>14</v>
      </c>
      <c r="G2" s="193" t="s">
        <v>14</v>
      </c>
      <c r="H2" s="193" t="s">
        <v>14</v>
      </c>
      <c r="I2" s="193" t="s">
        <v>14</v>
      </c>
      <c r="J2" s="193" t="s">
        <v>14</v>
      </c>
      <c r="K2" s="193" t="s">
        <v>14</v>
      </c>
      <c r="L2" s="193" t="s">
        <v>14</v>
      </c>
      <c r="M2" s="193" t="s">
        <v>14</v>
      </c>
      <c r="N2" s="193" t="s">
        <v>14</v>
      </c>
      <c r="O2" s="193" t="s">
        <v>15</v>
      </c>
      <c r="P2" s="193" t="s">
        <v>15</v>
      </c>
      <c r="Q2" s="193" t="s">
        <v>15</v>
      </c>
      <c r="R2" s="193" t="s">
        <v>15</v>
      </c>
      <c r="S2" s="193" t="s">
        <v>15</v>
      </c>
      <c r="T2" s="193" t="s">
        <v>15</v>
      </c>
      <c r="U2" s="193" t="s">
        <v>15</v>
      </c>
      <c r="V2" s="193" t="s">
        <v>15</v>
      </c>
      <c r="W2" s="193" t="s">
        <v>15</v>
      </c>
      <c r="X2" s="193" t="s">
        <v>15</v>
      </c>
      <c r="Y2" s="193" t="s">
        <v>15</v>
      </c>
      <c r="Z2" s="193" t="s">
        <v>15</v>
      </c>
      <c r="AA2" s="193" t="s">
        <v>16</v>
      </c>
      <c r="AB2" s="193" t="s">
        <v>16</v>
      </c>
      <c r="AC2" s="193" t="s">
        <v>16</v>
      </c>
      <c r="AD2" s="193" t="s">
        <v>16</v>
      </c>
      <c r="AE2" s="193" t="s">
        <v>16</v>
      </c>
      <c r="AF2" s="193" t="s">
        <v>16</v>
      </c>
      <c r="AG2" s="193" t="s">
        <v>16</v>
      </c>
      <c r="AH2" s="193" t="s">
        <v>16</v>
      </c>
      <c r="AI2" s="193" t="s">
        <v>16</v>
      </c>
      <c r="AJ2" s="193" t="s">
        <v>16</v>
      </c>
      <c r="AK2" s="193" t="s">
        <v>16</v>
      </c>
      <c r="AL2" s="193" t="s">
        <v>16</v>
      </c>
      <c r="AM2" s="235" t="s">
        <v>14</v>
      </c>
      <c r="AN2" s="235" t="s">
        <v>15</v>
      </c>
      <c r="AO2" s="235" t="s">
        <v>16</v>
      </c>
      <c r="AP2" s="236" t="s">
        <v>128</v>
      </c>
      <c r="AS2" s="195" t="s">
        <v>53</v>
      </c>
      <c r="AT2" s="193" t="s">
        <v>14</v>
      </c>
      <c r="AU2" s="193" t="s">
        <v>14</v>
      </c>
      <c r="AV2" s="193" t="s">
        <v>14</v>
      </c>
      <c r="AW2" s="193" t="s">
        <v>14</v>
      </c>
      <c r="AX2" s="193" t="s">
        <v>14</v>
      </c>
      <c r="AY2" s="193" t="s">
        <v>14</v>
      </c>
      <c r="AZ2" s="193" t="s">
        <v>14</v>
      </c>
      <c r="BA2" s="193" t="s">
        <v>14</v>
      </c>
      <c r="BB2" s="193" t="s">
        <v>14</v>
      </c>
      <c r="BC2" s="193" t="s">
        <v>14</v>
      </c>
      <c r="BD2" s="193" t="s">
        <v>14</v>
      </c>
      <c r="BE2" s="193" t="s">
        <v>14</v>
      </c>
      <c r="BF2" s="193" t="s">
        <v>15</v>
      </c>
      <c r="BG2" s="193" t="s">
        <v>15</v>
      </c>
      <c r="BH2" s="193" t="s">
        <v>15</v>
      </c>
      <c r="BI2" s="193" t="s">
        <v>15</v>
      </c>
      <c r="BJ2" s="193" t="s">
        <v>15</v>
      </c>
      <c r="BK2" s="193" t="s">
        <v>15</v>
      </c>
      <c r="BL2" s="193" t="s">
        <v>15</v>
      </c>
      <c r="BM2" s="193" t="s">
        <v>15</v>
      </c>
      <c r="BN2" s="193" t="s">
        <v>15</v>
      </c>
      <c r="BO2" s="193" t="s">
        <v>15</v>
      </c>
      <c r="BP2" s="193" t="s">
        <v>15</v>
      </c>
      <c r="BQ2" s="193" t="s">
        <v>15</v>
      </c>
      <c r="BR2" s="193" t="s">
        <v>16</v>
      </c>
      <c r="BS2" s="193" t="s">
        <v>16</v>
      </c>
      <c r="BT2" s="193" t="s">
        <v>16</v>
      </c>
      <c r="BU2" s="193" t="s">
        <v>16</v>
      </c>
      <c r="BV2" s="193" t="s">
        <v>16</v>
      </c>
      <c r="BW2" s="193" t="s">
        <v>16</v>
      </c>
      <c r="BX2" s="193" t="s">
        <v>16</v>
      </c>
      <c r="BY2" s="193" t="s">
        <v>16</v>
      </c>
      <c r="BZ2" s="193" t="s">
        <v>16</v>
      </c>
      <c r="CA2" s="193" t="s">
        <v>16</v>
      </c>
      <c r="CB2" s="193" t="s">
        <v>16</v>
      </c>
      <c r="CC2" s="193" t="s">
        <v>16</v>
      </c>
      <c r="CD2" s="235" t="s">
        <v>14</v>
      </c>
      <c r="CE2" s="235" t="s">
        <v>15</v>
      </c>
      <c r="CF2" s="235" t="s">
        <v>16</v>
      </c>
      <c r="CG2" s="236" t="s">
        <v>128</v>
      </c>
    </row>
    <row r="3" spans="1:85" s="194" customFormat="1">
      <c r="A3" s="196"/>
      <c r="B3" s="197"/>
      <c r="C3" s="193" t="s">
        <v>54</v>
      </c>
      <c r="D3" s="193" t="s">
        <v>55</v>
      </c>
      <c r="E3" s="193" t="s">
        <v>56</v>
      </c>
      <c r="F3" s="193" t="s">
        <v>57</v>
      </c>
      <c r="G3" s="193" t="s">
        <v>58</v>
      </c>
      <c r="H3" s="193" t="s">
        <v>59</v>
      </c>
      <c r="I3" s="193" t="s">
        <v>60</v>
      </c>
      <c r="J3" s="193" t="s">
        <v>61</v>
      </c>
      <c r="K3" s="193" t="s">
        <v>62</v>
      </c>
      <c r="L3" s="193" t="s">
        <v>63</v>
      </c>
      <c r="M3" s="193" t="s">
        <v>64</v>
      </c>
      <c r="N3" s="193" t="s">
        <v>65</v>
      </c>
      <c r="O3" s="193" t="s">
        <v>66</v>
      </c>
      <c r="P3" s="193" t="s">
        <v>67</v>
      </c>
      <c r="Q3" s="193" t="s">
        <v>68</v>
      </c>
      <c r="R3" s="193" t="s">
        <v>69</v>
      </c>
      <c r="S3" s="193" t="s">
        <v>70</v>
      </c>
      <c r="T3" s="193" t="s">
        <v>71</v>
      </c>
      <c r="U3" s="193" t="s">
        <v>72</v>
      </c>
      <c r="V3" s="193" t="s">
        <v>73</v>
      </c>
      <c r="W3" s="193" t="s">
        <v>74</v>
      </c>
      <c r="X3" s="193" t="s">
        <v>75</v>
      </c>
      <c r="Y3" s="193" t="s">
        <v>76</v>
      </c>
      <c r="Z3" s="193" t="s">
        <v>77</v>
      </c>
      <c r="AA3" s="193" t="s">
        <v>78</v>
      </c>
      <c r="AB3" s="193" t="s">
        <v>79</v>
      </c>
      <c r="AC3" s="193" t="s">
        <v>80</v>
      </c>
      <c r="AD3" s="193" t="s">
        <v>81</v>
      </c>
      <c r="AE3" s="193" t="s">
        <v>82</v>
      </c>
      <c r="AF3" s="193" t="s">
        <v>83</v>
      </c>
      <c r="AG3" s="193" t="s">
        <v>84</v>
      </c>
      <c r="AH3" s="193" t="s">
        <v>85</v>
      </c>
      <c r="AI3" s="193" t="s">
        <v>86</v>
      </c>
      <c r="AJ3" s="193" t="s">
        <v>87</v>
      </c>
      <c r="AK3" s="193" t="s">
        <v>88</v>
      </c>
      <c r="AL3" s="193" t="s">
        <v>89</v>
      </c>
      <c r="AM3" s="235" t="s">
        <v>90</v>
      </c>
      <c r="AN3" s="235" t="s">
        <v>90</v>
      </c>
      <c r="AO3" s="235" t="s">
        <v>90</v>
      </c>
      <c r="AP3" s="236"/>
      <c r="AR3" s="196"/>
      <c r="AS3" s="197"/>
      <c r="AT3" s="193" t="s">
        <v>54</v>
      </c>
      <c r="AU3" s="193" t="s">
        <v>55</v>
      </c>
      <c r="AV3" s="193" t="s">
        <v>56</v>
      </c>
      <c r="AW3" s="193" t="s">
        <v>57</v>
      </c>
      <c r="AX3" s="193" t="s">
        <v>58</v>
      </c>
      <c r="AY3" s="193" t="s">
        <v>59</v>
      </c>
      <c r="AZ3" s="193" t="s">
        <v>60</v>
      </c>
      <c r="BA3" s="193" t="s">
        <v>61</v>
      </c>
      <c r="BB3" s="193" t="s">
        <v>62</v>
      </c>
      <c r="BC3" s="193" t="s">
        <v>63</v>
      </c>
      <c r="BD3" s="193" t="s">
        <v>64</v>
      </c>
      <c r="BE3" s="193" t="s">
        <v>65</v>
      </c>
      <c r="BF3" s="193" t="s">
        <v>66</v>
      </c>
      <c r="BG3" s="193" t="s">
        <v>67</v>
      </c>
      <c r="BH3" s="193" t="s">
        <v>68</v>
      </c>
      <c r="BI3" s="193" t="s">
        <v>69</v>
      </c>
      <c r="BJ3" s="193" t="s">
        <v>70</v>
      </c>
      <c r="BK3" s="193" t="s">
        <v>71</v>
      </c>
      <c r="BL3" s="193" t="s">
        <v>72</v>
      </c>
      <c r="BM3" s="193" t="s">
        <v>73</v>
      </c>
      <c r="BN3" s="193" t="s">
        <v>74</v>
      </c>
      <c r="BO3" s="193" t="s">
        <v>75</v>
      </c>
      <c r="BP3" s="193" t="s">
        <v>76</v>
      </c>
      <c r="BQ3" s="193" t="s">
        <v>77</v>
      </c>
      <c r="BR3" s="193" t="s">
        <v>78</v>
      </c>
      <c r="BS3" s="193" t="s">
        <v>79</v>
      </c>
      <c r="BT3" s="193" t="s">
        <v>80</v>
      </c>
      <c r="BU3" s="193" t="s">
        <v>81</v>
      </c>
      <c r="BV3" s="193" t="s">
        <v>82</v>
      </c>
      <c r="BW3" s="193" t="s">
        <v>83</v>
      </c>
      <c r="BX3" s="193" t="s">
        <v>84</v>
      </c>
      <c r="BY3" s="193" t="s">
        <v>85</v>
      </c>
      <c r="BZ3" s="193" t="s">
        <v>86</v>
      </c>
      <c r="CA3" s="193" t="s">
        <v>87</v>
      </c>
      <c r="CB3" s="193" t="s">
        <v>88</v>
      </c>
      <c r="CC3" s="193" t="s">
        <v>89</v>
      </c>
      <c r="CD3" s="235" t="s">
        <v>90</v>
      </c>
      <c r="CE3" s="235" t="s">
        <v>90</v>
      </c>
      <c r="CF3" s="235" t="s">
        <v>90</v>
      </c>
      <c r="CG3" s="236"/>
    </row>
    <row r="4" spans="1:85" s="201" customFormat="1">
      <c r="A4" s="198" t="s">
        <v>91</v>
      </c>
      <c r="B4" s="199">
        <v>0.15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37"/>
      <c r="AN4" s="237"/>
      <c r="AO4" s="237"/>
      <c r="AP4" s="237"/>
      <c r="AR4" s="198" t="s">
        <v>91</v>
      </c>
      <c r="AS4" s="199">
        <v>0.15</v>
      </c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37"/>
      <c r="CE4" s="237"/>
      <c r="CF4" s="237"/>
      <c r="CG4" s="237"/>
    </row>
    <row r="5" spans="1:85" s="198" customFormat="1">
      <c r="A5" s="198" t="s">
        <v>92</v>
      </c>
      <c r="B5" s="192">
        <v>3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38"/>
      <c r="AN5" s="238"/>
      <c r="AO5" s="238"/>
      <c r="AP5" s="237"/>
      <c r="AR5" s="198" t="s">
        <v>92</v>
      </c>
      <c r="AS5" s="192">
        <v>5</v>
      </c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38"/>
      <c r="CE5" s="238"/>
      <c r="CF5" s="238"/>
      <c r="CG5" s="237"/>
    </row>
    <row r="6" spans="1:85" s="198" customFormat="1">
      <c r="A6" s="198" t="s">
        <v>93</v>
      </c>
      <c r="B6" s="203">
        <f>(1+B4)^(-B5)</f>
        <v>0.65751623243198831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38"/>
      <c r="AN6" s="238"/>
      <c r="AO6" s="238"/>
      <c r="AP6" s="237"/>
      <c r="AR6" s="198" t="s">
        <v>93</v>
      </c>
      <c r="AS6" s="203">
        <f>(1+AS4)^(-AS5)</f>
        <v>0.49717673529828987</v>
      </c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38"/>
      <c r="CE6" s="238"/>
      <c r="CF6" s="238"/>
      <c r="CG6" s="237"/>
    </row>
    <row r="7" spans="1:85" s="198" customFormat="1">
      <c r="B7" s="192" t="s">
        <v>137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38"/>
      <c r="AN7" s="239"/>
      <c r="AO7" s="239"/>
      <c r="AP7" s="237"/>
      <c r="AS7" s="192" t="s">
        <v>116</v>
      </c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38"/>
      <c r="CE7" s="239"/>
      <c r="CF7" s="239"/>
      <c r="CG7" s="237"/>
    </row>
    <row r="8" spans="1:85" s="198" customFormat="1">
      <c r="A8" s="204" t="s">
        <v>251</v>
      </c>
      <c r="B8" s="19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38"/>
      <c r="AN8" s="239"/>
      <c r="AO8" s="239"/>
      <c r="AP8" s="237"/>
      <c r="AR8" s="204" t="s">
        <v>252</v>
      </c>
      <c r="AS8" s="19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38"/>
      <c r="CE8" s="239"/>
      <c r="CF8" s="239"/>
      <c r="CG8" s="237"/>
    </row>
    <row r="9" spans="1:85" s="198" customFormat="1">
      <c r="A9" s="201" t="s">
        <v>17</v>
      </c>
      <c r="B9" s="229">
        <f>AP9</f>
        <v>1372754945</v>
      </c>
      <c r="C9" s="230">
        <f>'PL OFT_2'!I8</f>
        <v>7070682</v>
      </c>
      <c r="D9" s="230">
        <f>'PL OFT_2'!J8</f>
        <v>8941609</v>
      </c>
      <c r="E9" s="230">
        <f>'PL OFT_2'!K8</f>
        <v>12537100</v>
      </c>
      <c r="F9" s="230">
        <f>'PL OFT_2'!L8</f>
        <v>14452242</v>
      </c>
      <c r="G9" s="230">
        <f>'PL OFT_2'!M8</f>
        <v>17864933</v>
      </c>
      <c r="H9" s="230">
        <f>'PL OFT_2'!N8</f>
        <v>19797713</v>
      </c>
      <c r="I9" s="230">
        <f>'PL OFT_2'!O8</f>
        <v>21573555</v>
      </c>
      <c r="J9" s="230">
        <f>'PL OFT_2'!P8</f>
        <v>21573555</v>
      </c>
      <c r="K9" s="230">
        <f>'PL OFT_2'!Q8</f>
        <v>21698555</v>
      </c>
      <c r="L9" s="230">
        <f>'PL OFT_2'!R8</f>
        <v>21698555</v>
      </c>
      <c r="M9" s="230">
        <f>'PL OFT_2'!S8</f>
        <v>21761055</v>
      </c>
      <c r="N9" s="230">
        <f>'PL OFT_2'!T8</f>
        <v>21761055</v>
      </c>
      <c r="O9" s="230">
        <f>'PL OFT_2'!U8</f>
        <v>41951579</v>
      </c>
      <c r="P9" s="230">
        <f>'PL OFT_2'!V8</f>
        <v>41951579</v>
      </c>
      <c r="Q9" s="230">
        <f>'PL OFT_2'!W8</f>
        <v>41951579</v>
      </c>
      <c r="R9" s="230">
        <f>'PL OFT_2'!X8</f>
        <v>41951579</v>
      </c>
      <c r="S9" s="230">
        <f>'PL OFT_2'!Y8</f>
        <v>41951579</v>
      </c>
      <c r="T9" s="230">
        <f>'PL OFT_2'!Z8</f>
        <v>42081579</v>
      </c>
      <c r="U9" s="230">
        <f>'PL OFT_2'!AA8</f>
        <v>42081579</v>
      </c>
      <c r="V9" s="230">
        <f>'PL OFT_2'!AB8</f>
        <v>42081579</v>
      </c>
      <c r="W9" s="230">
        <f>'PL OFT_2'!AC8</f>
        <v>42081579</v>
      </c>
      <c r="X9" s="230">
        <f>'PL OFT_2'!AD8</f>
        <v>42081579</v>
      </c>
      <c r="Y9" s="230">
        <f>'PL OFT_2'!AE8</f>
        <v>42081579</v>
      </c>
      <c r="Z9" s="230">
        <f>'PL OFT_2'!AF8</f>
        <v>42081579</v>
      </c>
      <c r="AA9" s="230">
        <f>'PL OFT_2'!AG8</f>
        <v>56169199</v>
      </c>
      <c r="AB9" s="230">
        <f>'PL OFT_2'!AH8</f>
        <v>54684199</v>
      </c>
      <c r="AC9" s="230">
        <f>'PL OFT_2'!AI8</f>
        <v>54684199</v>
      </c>
      <c r="AD9" s="230">
        <f>'PL OFT_2'!AJ8</f>
        <v>54684199</v>
      </c>
      <c r="AE9" s="230">
        <f>'PL OFT_2'!AK8</f>
        <v>54684199</v>
      </c>
      <c r="AF9" s="230">
        <f>'PL OFT_2'!AL8</f>
        <v>54684199</v>
      </c>
      <c r="AG9" s="230">
        <f>'PL OFT_2'!AM8</f>
        <v>54684199</v>
      </c>
      <c r="AH9" s="230">
        <f>'PL OFT_2'!AN8</f>
        <v>54684199</v>
      </c>
      <c r="AI9" s="230">
        <f>'PL OFT_2'!AO8</f>
        <v>54684199</v>
      </c>
      <c r="AJ9" s="230">
        <f>'PL OFT_2'!AP8</f>
        <v>54684199</v>
      </c>
      <c r="AK9" s="230">
        <f>'PL OFT_2'!AQ8</f>
        <v>54684199</v>
      </c>
      <c r="AL9" s="230">
        <f>'PL OFT_2'!AR8</f>
        <v>54684199</v>
      </c>
      <c r="AM9" s="240">
        <f t="shared" ref="AM9:AO10" si="0">SUMIF($C$2:$AL$2,AM$2,$C9:$AL9)</f>
        <v>210730609</v>
      </c>
      <c r="AN9" s="240">
        <f t="shared" si="0"/>
        <v>504328948</v>
      </c>
      <c r="AO9" s="240">
        <f t="shared" si="0"/>
        <v>657695388</v>
      </c>
      <c r="AP9" s="240">
        <f>SUM(AM9:AO9)</f>
        <v>1372754945</v>
      </c>
      <c r="AQ9" s="206"/>
      <c r="AR9" s="201" t="s">
        <v>17</v>
      </c>
      <c r="AS9" s="229">
        <f>CG9</f>
        <v>0</v>
      </c>
      <c r="AT9" s="230">
        <f>'PL Optic_2'!I8</f>
        <v>0</v>
      </c>
      <c r="AU9" s="230">
        <f>'PL Optic_2'!J8</f>
        <v>0</v>
      </c>
      <c r="AV9" s="230">
        <f>'PL Optic_2'!K8</f>
        <v>0</v>
      </c>
      <c r="AW9" s="230">
        <f>'PL Optic_2'!L8</f>
        <v>0</v>
      </c>
      <c r="AX9" s="230">
        <f>'PL Optic_2'!M8</f>
        <v>0</v>
      </c>
      <c r="AY9" s="230">
        <f>'PL Optic_2'!N8</f>
        <v>0</v>
      </c>
      <c r="AZ9" s="230">
        <f>'PL Optic_2'!O8</f>
        <v>0</v>
      </c>
      <c r="BA9" s="230">
        <f>'PL Optic_2'!P8</f>
        <v>0</v>
      </c>
      <c r="BB9" s="230">
        <f>'PL Optic_2'!Q8</f>
        <v>0</v>
      </c>
      <c r="BC9" s="230">
        <f>'PL Optic_2'!R8</f>
        <v>0</v>
      </c>
      <c r="BD9" s="230">
        <f>'PL Optic_2'!S8</f>
        <v>0</v>
      </c>
      <c r="BE9" s="230">
        <f>'PL Optic_2'!T8</f>
        <v>0</v>
      </c>
      <c r="BF9" s="230">
        <f>'PL Optic_2'!U8</f>
        <v>0</v>
      </c>
      <c r="BG9" s="230">
        <f>'PL Optic_2'!V8</f>
        <v>0</v>
      </c>
      <c r="BH9" s="230">
        <f>'PL Optic_2'!W8</f>
        <v>0</v>
      </c>
      <c r="BI9" s="230">
        <f>'PL Optic_2'!X8</f>
        <v>0</v>
      </c>
      <c r="BJ9" s="230">
        <f>'PL Optic_2'!Y8</f>
        <v>0</v>
      </c>
      <c r="BK9" s="230">
        <f>'PL Optic_2'!Z8</f>
        <v>0</v>
      </c>
      <c r="BL9" s="230">
        <f>'PL Optic_2'!AA8</f>
        <v>0</v>
      </c>
      <c r="BM9" s="230">
        <f>'PL Optic_2'!AB8</f>
        <v>0</v>
      </c>
      <c r="BN9" s="230">
        <f>'PL Optic_2'!AC8</f>
        <v>0</v>
      </c>
      <c r="BO9" s="230">
        <f>'PL Optic_2'!AD8</f>
        <v>0</v>
      </c>
      <c r="BP9" s="230">
        <f>'PL Optic_2'!AE8</f>
        <v>0</v>
      </c>
      <c r="BQ9" s="230">
        <f>'PL Optic_2'!AF8</f>
        <v>0</v>
      </c>
      <c r="BR9" s="230">
        <f>'PL Optic_2'!AG8</f>
        <v>0</v>
      </c>
      <c r="BS9" s="230">
        <f>'PL Optic_2'!AH8</f>
        <v>0</v>
      </c>
      <c r="BT9" s="230">
        <f>'PL Optic_2'!AI8</f>
        <v>0</v>
      </c>
      <c r="BU9" s="230">
        <f>'PL Optic_2'!AJ8</f>
        <v>0</v>
      </c>
      <c r="BV9" s="230">
        <f>'PL Optic_2'!AK8</f>
        <v>0</v>
      </c>
      <c r="BW9" s="230">
        <f>'PL Optic_2'!AL8</f>
        <v>0</v>
      </c>
      <c r="BX9" s="230">
        <f>'PL Optic_2'!AM8</f>
        <v>0</v>
      </c>
      <c r="BY9" s="230">
        <f>'PL Optic_2'!AN8</f>
        <v>0</v>
      </c>
      <c r="BZ9" s="230">
        <f>'PL Optic_2'!AO8</f>
        <v>0</v>
      </c>
      <c r="CA9" s="230">
        <f>'PL Optic_2'!AP8</f>
        <v>0</v>
      </c>
      <c r="CB9" s="230">
        <f>'PL Optic_2'!AQ8</f>
        <v>0</v>
      </c>
      <c r="CC9" s="230">
        <f>'PL Optic_2'!AR8</f>
        <v>0</v>
      </c>
      <c r="CD9" s="240">
        <f>SUMIF($AT$2:$CC$2,CD$2,$AT9:$CC9)</f>
        <v>0</v>
      </c>
      <c r="CE9" s="240">
        <f t="shared" ref="CE9:CF10" si="1">SUMIF($AT$2:$CC$2,CE$2,$AT9:$CC9)</f>
        <v>0</v>
      </c>
      <c r="CF9" s="240">
        <f t="shared" si="1"/>
        <v>0</v>
      </c>
      <c r="CG9" s="240">
        <f>SUM(CD9:CF9)</f>
        <v>0</v>
      </c>
    </row>
    <row r="10" spans="1:85" s="198" customFormat="1">
      <c r="A10" s="198" t="s">
        <v>94</v>
      </c>
      <c r="B10" s="229"/>
      <c r="C10" s="230">
        <f>'PL OFT_2'!I10+'PL OFT_2'!I15</f>
        <v>2067347.6538081518</v>
      </c>
      <c r="D10" s="230">
        <f>'PL OFT_2'!J10+'PL OFT_2'!J15</f>
        <v>2610844.5114555932</v>
      </c>
      <c r="E10" s="230">
        <f>'PL OFT_2'!K10+'PL OFT_2'!K15</f>
        <v>3658912.6200112216</v>
      </c>
      <c r="F10" s="230">
        <f>'PL OFT_2'!L10+'PL OFT_2'!L15</f>
        <v>4212990.4113780865</v>
      </c>
      <c r="G10" s="230">
        <f>'PL OFT_2'!M10+'PL OFT_2'!M15</f>
        <v>5217313.304872971</v>
      </c>
      <c r="H10" s="230">
        <f>'PL OFT_2'!N10+'PL OFT_2'!N15</f>
        <v>5782473.9830190567</v>
      </c>
      <c r="I10" s="230">
        <f>'PL OFT_2'!O10+'PL OFT_2'!O15</f>
        <v>6299316.3889484955</v>
      </c>
      <c r="J10" s="230">
        <f>'PL OFT_2'!P10+'PL OFT_2'!P15</f>
        <v>6299316.3889484955</v>
      </c>
      <c r="K10" s="230">
        <f>'PL OFT_2'!Q10+'PL OFT_2'!Q15</f>
        <v>6329229.6924637742</v>
      </c>
      <c r="L10" s="230">
        <f>'PL OFT_2'!R10+'PL OFT_2'!R15</f>
        <v>6329229.6924637742</v>
      </c>
      <c r="M10" s="230">
        <f>'PL OFT_2'!S10+'PL OFT_2'!S15</f>
        <v>6344186.3442214131</v>
      </c>
      <c r="N10" s="230">
        <f>'PL OFT_2'!T10+'PL OFT_2'!T15</f>
        <v>6344186.3442214131</v>
      </c>
      <c r="O10" s="230">
        <f>'PL OFT_2'!U10+'PL OFT_2'!U15</f>
        <v>12290282.524577593</v>
      </c>
      <c r="P10" s="230">
        <f>'PL OFT_2'!V10+'PL OFT_2'!V15</f>
        <v>12290282.524577593</v>
      </c>
      <c r="Q10" s="230">
        <f>'PL OFT_2'!W10+'PL OFT_2'!W15</f>
        <v>12290282.524577593</v>
      </c>
      <c r="R10" s="230">
        <f>'PL OFT_2'!X10+'PL OFT_2'!X15</f>
        <v>12290282.524577593</v>
      </c>
      <c r="S10" s="230">
        <f>'PL OFT_2'!Y10+'PL OFT_2'!Y15</f>
        <v>12290282.524577593</v>
      </c>
      <c r="T10" s="230">
        <f>'PL OFT_2'!Z10+'PL OFT_2'!Z15</f>
        <v>12321392.360233484</v>
      </c>
      <c r="U10" s="230">
        <f>'PL OFT_2'!AA10+'PL OFT_2'!AA15</f>
        <v>12321392.360233484</v>
      </c>
      <c r="V10" s="230">
        <f>'PL OFT_2'!AB10+'PL OFT_2'!AB15</f>
        <v>12321392.360233484</v>
      </c>
      <c r="W10" s="230">
        <f>'PL OFT_2'!AC10+'PL OFT_2'!AC15</f>
        <v>12321392.360233484</v>
      </c>
      <c r="X10" s="230">
        <f>'PL OFT_2'!AD10+'PL OFT_2'!AD15</f>
        <v>12321392.360233484</v>
      </c>
      <c r="Y10" s="230">
        <f>'PL OFT_2'!AE10+'PL OFT_2'!AE15</f>
        <v>12321392.360233484</v>
      </c>
      <c r="Z10" s="230">
        <f>'PL OFT_2'!AF10+'PL OFT_2'!AF15</f>
        <v>12321392.360233484</v>
      </c>
      <c r="AA10" s="230">
        <f>'PL OFT_2'!AG10+'PL OFT_2'!AG15</f>
        <v>16526520.383176785</v>
      </c>
      <c r="AB10" s="230">
        <f>'PL OFT_2'!AH10+'PL OFT_2'!AH15</f>
        <v>16171150.337415272</v>
      </c>
      <c r="AC10" s="230">
        <f>'PL OFT_2'!AI10+'PL OFT_2'!AI15</f>
        <v>16171150.337415272</v>
      </c>
      <c r="AD10" s="230">
        <f>'PL OFT_2'!AJ10+'PL OFT_2'!AJ15</f>
        <v>16171150.337415272</v>
      </c>
      <c r="AE10" s="230">
        <f>'PL OFT_2'!AK10+'PL OFT_2'!AK15</f>
        <v>16171150.337415272</v>
      </c>
      <c r="AF10" s="230">
        <f>'PL OFT_2'!AL10+'PL OFT_2'!AL15</f>
        <v>16171150.337415272</v>
      </c>
      <c r="AG10" s="230">
        <f>'PL OFT_2'!AM10+'PL OFT_2'!AM15</f>
        <v>16171150.337415272</v>
      </c>
      <c r="AH10" s="230">
        <f>'PL OFT_2'!AN10+'PL OFT_2'!AN15</f>
        <v>16171150.337415272</v>
      </c>
      <c r="AI10" s="230">
        <f>'PL OFT_2'!AO10+'PL OFT_2'!AO15</f>
        <v>16171150.337415272</v>
      </c>
      <c r="AJ10" s="230">
        <f>'PL OFT_2'!AP10+'PL OFT_2'!AP15</f>
        <v>16171150.337415272</v>
      </c>
      <c r="AK10" s="230">
        <f>'PL OFT_2'!AQ10+'PL OFT_2'!AQ15</f>
        <v>16171150.337415272</v>
      </c>
      <c r="AL10" s="230">
        <f>'PL OFT_2'!AR10+'PL OFT_2'!AR15</f>
        <v>16171150.337415272</v>
      </c>
      <c r="AM10" s="241">
        <f t="shared" si="0"/>
        <v>61495347.335812449</v>
      </c>
      <c r="AN10" s="241">
        <f t="shared" si="0"/>
        <v>147701159.14452237</v>
      </c>
      <c r="AO10" s="241">
        <f t="shared" si="0"/>
        <v>194409174.0947448</v>
      </c>
      <c r="AP10" s="240">
        <f>SUM(AM10:AO10)</f>
        <v>403605680.57507962</v>
      </c>
      <c r="AQ10" s="206"/>
      <c r="AR10" s="198" t="s">
        <v>94</v>
      </c>
      <c r="AS10" s="229"/>
      <c r="AT10" s="230">
        <f>'PL Optic_2'!I11</f>
        <v>0</v>
      </c>
      <c r="AU10" s="230">
        <f>'PL Optic_2'!J11</f>
        <v>0</v>
      </c>
      <c r="AV10" s="230">
        <f>'PL Optic_2'!K11</f>
        <v>0</v>
      </c>
      <c r="AW10" s="230">
        <f>'PL Optic_2'!L11</f>
        <v>0</v>
      </c>
      <c r="AX10" s="230">
        <f>'PL Optic_2'!M11</f>
        <v>0</v>
      </c>
      <c r="AY10" s="230">
        <f>'PL Optic_2'!N11</f>
        <v>0</v>
      </c>
      <c r="AZ10" s="230">
        <f>'PL Optic_2'!O11</f>
        <v>0</v>
      </c>
      <c r="BA10" s="230">
        <f>'PL Optic_2'!P11</f>
        <v>0</v>
      </c>
      <c r="BB10" s="230">
        <f>'PL Optic_2'!Q11</f>
        <v>0</v>
      </c>
      <c r="BC10" s="230">
        <f>'PL Optic_2'!R11</f>
        <v>0</v>
      </c>
      <c r="BD10" s="230">
        <f>'PL Optic_2'!S11</f>
        <v>0</v>
      </c>
      <c r="BE10" s="230">
        <f>'PL Optic_2'!T11</f>
        <v>0</v>
      </c>
      <c r="BF10" s="230">
        <f>'PL Optic_2'!U11</f>
        <v>0</v>
      </c>
      <c r="BG10" s="230">
        <f>'PL Optic_2'!V11</f>
        <v>0</v>
      </c>
      <c r="BH10" s="230">
        <f>'PL Optic_2'!W11</f>
        <v>0</v>
      </c>
      <c r="BI10" s="230">
        <f>'PL Optic_2'!X11</f>
        <v>0</v>
      </c>
      <c r="BJ10" s="230">
        <f>'PL Optic_2'!Y11</f>
        <v>0</v>
      </c>
      <c r="BK10" s="230">
        <f>'PL Optic_2'!Z11</f>
        <v>0</v>
      </c>
      <c r="BL10" s="230">
        <f>'PL Optic_2'!AA11</f>
        <v>0</v>
      </c>
      <c r="BM10" s="230">
        <f>'PL Optic_2'!AB11</f>
        <v>0</v>
      </c>
      <c r="BN10" s="230">
        <f>'PL Optic_2'!AC11</f>
        <v>0</v>
      </c>
      <c r="BO10" s="230">
        <f>'PL Optic_2'!AD11</f>
        <v>0</v>
      </c>
      <c r="BP10" s="230">
        <f>'PL Optic_2'!AE11</f>
        <v>0</v>
      </c>
      <c r="BQ10" s="230">
        <f>'PL Optic_2'!AF11</f>
        <v>0</v>
      </c>
      <c r="BR10" s="230">
        <f>'PL Optic_2'!AG11</f>
        <v>0</v>
      </c>
      <c r="BS10" s="230">
        <f>'PL Optic_2'!AH11</f>
        <v>0</v>
      </c>
      <c r="BT10" s="230">
        <f>'PL Optic_2'!AI11</f>
        <v>0</v>
      </c>
      <c r="BU10" s="230">
        <f>'PL Optic_2'!AJ11</f>
        <v>0</v>
      </c>
      <c r="BV10" s="230">
        <f>'PL Optic_2'!AK11</f>
        <v>0</v>
      </c>
      <c r="BW10" s="230">
        <f>'PL Optic_2'!AL11</f>
        <v>0</v>
      </c>
      <c r="BX10" s="230">
        <f>'PL Optic_2'!AM11</f>
        <v>0</v>
      </c>
      <c r="BY10" s="230">
        <f>'PL Optic_2'!AN11</f>
        <v>0</v>
      </c>
      <c r="BZ10" s="230">
        <f>'PL Optic_2'!AO11</f>
        <v>0</v>
      </c>
      <c r="CA10" s="230">
        <f>'PL Optic_2'!AP11</f>
        <v>0</v>
      </c>
      <c r="CB10" s="230">
        <f>'PL Optic_2'!AQ11</f>
        <v>0</v>
      </c>
      <c r="CC10" s="230">
        <f>'PL Optic_2'!AR11</f>
        <v>0</v>
      </c>
      <c r="CD10" s="241">
        <f>SUMIF($AT$2:$CC$2,CD$2,$AT10:$CC10)</f>
        <v>0</v>
      </c>
      <c r="CE10" s="241">
        <f t="shared" si="1"/>
        <v>0</v>
      </c>
      <c r="CF10" s="241">
        <f t="shared" si="1"/>
        <v>0</v>
      </c>
      <c r="CG10" s="240">
        <f>SUM(CD10:CF10)</f>
        <v>0</v>
      </c>
    </row>
    <row r="11" spans="1:85" s="198" customFormat="1">
      <c r="A11" s="198" t="s">
        <v>95</v>
      </c>
      <c r="B11" s="229"/>
      <c r="C11" s="230">
        <f>C9-C10</f>
        <v>5003334.3461918477</v>
      </c>
      <c r="D11" s="230">
        <f t="shared" ref="D11:AL11" si="2">D9-D10</f>
        <v>6330764.4885444064</v>
      </c>
      <c r="E11" s="230">
        <f t="shared" si="2"/>
        <v>8878187.3799887784</v>
      </c>
      <c r="F11" s="230">
        <f t="shared" si="2"/>
        <v>10239251.588621914</v>
      </c>
      <c r="G11" s="230">
        <f t="shared" si="2"/>
        <v>12647619.695127029</v>
      </c>
      <c r="H11" s="230">
        <f t="shared" si="2"/>
        <v>14015239.016980942</v>
      </c>
      <c r="I11" s="230">
        <f t="shared" si="2"/>
        <v>15274238.611051504</v>
      </c>
      <c r="J11" s="230">
        <f t="shared" si="2"/>
        <v>15274238.611051504</v>
      </c>
      <c r="K11" s="230">
        <f t="shared" si="2"/>
        <v>15369325.307536226</v>
      </c>
      <c r="L11" s="230">
        <f t="shared" si="2"/>
        <v>15369325.307536226</v>
      </c>
      <c r="M11" s="230">
        <f t="shared" si="2"/>
        <v>15416868.655778587</v>
      </c>
      <c r="N11" s="230">
        <f t="shared" si="2"/>
        <v>15416868.655778587</v>
      </c>
      <c r="O11" s="230">
        <f t="shared" si="2"/>
        <v>29661296.475422405</v>
      </c>
      <c r="P11" s="230">
        <f t="shared" si="2"/>
        <v>29661296.475422405</v>
      </c>
      <c r="Q11" s="230">
        <f t="shared" si="2"/>
        <v>29661296.475422405</v>
      </c>
      <c r="R11" s="230">
        <f t="shared" si="2"/>
        <v>29661296.475422405</v>
      </c>
      <c r="S11" s="230">
        <f t="shared" si="2"/>
        <v>29661296.475422405</v>
      </c>
      <c r="T11" s="230">
        <f t="shared" si="2"/>
        <v>29760186.639766514</v>
      </c>
      <c r="U11" s="230">
        <f t="shared" si="2"/>
        <v>29760186.639766514</v>
      </c>
      <c r="V11" s="230">
        <f t="shared" si="2"/>
        <v>29760186.639766514</v>
      </c>
      <c r="W11" s="230">
        <f t="shared" si="2"/>
        <v>29760186.639766514</v>
      </c>
      <c r="X11" s="230">
        <f t="shared" si="2"/>
        <v>29760186.639766514</v>
      </c>
      <c r="Y11" s="230">
        <f t="shared" si="2"/>
        <v>29760186.639766514</v>
      </c>
      <c r="Z11" s="230">
        <f t="shared" si="2"/>
        <v>29760186.639766514</v>
      </c>
      <c r="AA11" s="230">
        <f t="shared" si="2"/>
        <v>39642678.616823211</v>
      </c>
      <c r="AB11" s="230">
        <f t="shared" si="2"/>
        <v>38513048.662584729</v>
      </c>
      <c r="AC11" s="230">
        <f t="shared" si="2"/>
        <v>38513048.662584729</v>
      </c>
      <c r="AD11" s="230">
        <f t="shared" si="2"/>
        <v>38513048.662584729</v>
      </c>
      <c r="AE11" s="230">
        <f t="shared" si="2"/>
        <v>38513048.662584729</v>
      </c>
      <c r="AF11" s="230">
        <f t="shared" si="2"/>
        <v>38513048.662584729</v>
      </c>
      <c r="AG11" s="230">
        <f t="shared" si="2"/>
        <v>38513048.662584729</v>
      </c>
      <c r="AH11" s="230">
        <f t="shared" si="2"/>
        <v>38513048.662584729</v>
      </c>
      <c r="AI11" s="230">
        <f t="shared" si="2"/>
        <v>38513048.662584729</v>
      </c>
      <c r="AJ11" s="230">
        <f t="shared" si="2"/>
        <v>38513048.662584729</v>
      </c>
      <c r="AK11" s="230">
        <f t="shared" si="2"/>
        <v>38513048.662584729</v>
      </c>
      <c r="AL11" s="230">
        <f t="shared" si="2"/>
        <v>38513048.662584729</v>
      </c>
      <c r="AM11" s="241">
        <f>AM9-AM10</f>
        <v>149235261.66418755</v>
      </c>
      <c r="AN11" s="241">
        <f t="shared" ref="AN11:AO11" si="3">AN9-AN10</f>
        <v>356627788.85547763</v>
      </c>
      <c r="AO11" s="241">
        <f t="shared" si="3"/>
        <v>463286213.9052552</v>
      </c>
      <c r="AP11" s="241">
        <f>SUM(AM11:AO11)</f>
        <v>969149264.42492032</v>
      </c>
      <c r="AQ11" s="206"/>
      <c r="AR11" s="198" t="s">
        <v>95</v>
      </c>
      <c r="AS11" s="229"/>
      <c r="AT11" s="230">
        <f>AT9-AT10</f>
        <v>0</v>
      </c>
      <c r="AU11" s="230">
        <f t="shared" ref="AU11:CC11" si="4">AU9-AU10</f>
        <v>0</v>
      </c>
      <c r="AV11" s="230">
        <f t="shared" si="4"/>
        <v>0</v>
      </c>
      <c r="AW11" s="230">
        <f t="shared" si="4"/>
        <v>0</v>
      </c>
      <c r="AX11" s="230">
        <f t="shared" si="4"/>
        <v>0</v>
      </c>
      <c r="AY11" s="230">
        <f t="shared" si="4"/>
        <v>0</v>
      </c>
      <c r="AZ11" s="230">
        <f t="shared" si="4"/>
        <v>0</v>
      </c>
      <c r="BA11" s="230">
        <f t="shared" si="4"/>
        <v>0</v>
      </c>
      <c r="BB11" s="230">
        <f t="shared" si="4"/>
        <v>0</v>
      </c>
      <c r="BC11" s="230">
        <f t="shared" si="4"/>
        <v>0</v>
      </c>
      <c r="BD11" s="230">
        <f t="shared" si="4"/>
        <v>0</v>
      </c>
      <c r="BE11" s="230">
        <f t="shared" si="4"/>
        <v>0</v>
      </c>
      <c r="BF11" s="230">
        <f t="shared" si="4"/>
        <v>0</v>
      </c>
      <c r="BG11" s="230">
        <f t="shared" si="4"/>
        <v>0</v>
      </c>
      <c r="BH11" s="230">
        <f t="shared" si="4"/>
        <v>0</v>
      </c>
      <c r="BI11" s="230">
        <f t="shared" si="4"/>
        <v>0</v>
      </c>
      <c r="BJ11" s="230">
        <f t="shared" si="4"/>
        <v>0</v>
      </c>
      <c r="BK11" s="230">
        <f t="shared" si="4"/>
        <v>0</v>
      </c>
      <c r="BL11" s="230">
        <f t="shared" si="4"/>
        <v>0</v>
      </c>
      <c r="BM11" s="230">
        <f t="shared" si="4"/>
        <v>0</v>
      </c>
      <c r="BN11" s="230">
        <f t="shared" si="4"/>
        <v>0</v>
      </c>
      <c r="BO11" s="230">
        <f t="shared" si="4"/>
        <v>0</v>
      </c>
      <c r="BP11" s="230">
        <f t="shared" si="4"/>
        <v>0</v>
      </c>
      <c r="BQ11" s="230">
        <f t="shared" si="4"/>
        <v>0</v>
      </c>
      <c r="BR11" s="230">
        <f t="shared" si="4"/>
        <v>0</v>
      </c>
      <c r="BS11" s="230">
        <f t="shared" si="4"/>
        <v>0</v>
      </c>
      <c r="BT11" s="230">
        <f t="shared" si="4"/>
        <v>0</v>
      </c>
      <c r="BU11" s="230">
        <f t="shared" si="4"/>
        <v>0</v>
      </c>
      <c r="BV11" s="230">
        <f t="shared" si="4"/>
        <v>0</v>
      </c>
      <c r="BW11" s="230">
        <f t="shared" si="4"/>
        <v>0</v>
      </c>
      <c r="BX11" s="230">
        <f t="shared" si="4"/>
        <v>0</v>
      </c>
      <c r="BY11" s="230">
        <f t="shared" si="4"/>
        <v>0</v>
      </c>
      <c r="BZ11" s="230">
        <f t="shared" si="4"/>
        <v>0</v>
      </c>
      <c r="CA11" s="230">
        <f t="shared" si="4"/>
        <v>0</v>
      </c>
      <c r="CB11" s="230">
        <f t="shared" si="4"/>
        <v>0</v>
      </c>
      <c r="CC11" s="230">
        <f t="shared" si="4"/>
        <v>0</v>
      </c>
      <c r="CD11" s="241">
        <f>CD9-CD10</f>
        <v>0</v>
      </c>
      <c r="CE11" s="241">
        <f t="shared" ref="CE11" si="5">CE9-CE10</f>
        <v>0</v>
      </c>
      <c r="CF11" s="241">
        <f t="shared" ref="CF11" si="6">CF9-CF10</f>
        <v>0</v>
      </c>
      <c r="CG11" s="241">
        <f>SUM(CD11:CF11)</f>
        <v>0</v>
      </c>
    </row>
    <row r="12" spans="1:85" s="198" customFormat="1">
      <c r="A12" s="198" t="s">
        <v>96</v>
      </c>
      <c r="B12" s="208"/>
      <c r="C12" s="231">
        <f>IF(C9=0,0,C11/C9)</f>
        <v>0.70761693796890424</v>
      </c>
      <c r="D12" s="231">
        <f t="shared" ref="D12:AL12" si="7">IF(D9=0,0,D11/D9)</f>
        <v>0.70801177825427242</v>
      </c>
      <c r="E12" s="231">
        <f t="shared" si="7"/>
        <v>0.70815319172605928</v>
      </c>
      <c r="F12" s="231">
        <f t="shared" si="7"/>
        <v>0.70848879977389767</v>
      </c>
      <c r="G12" s="231">
        <f t="shared" si="7"/>
        <v>0.70795785772759567</v>
      </c>
      <c r="H12" s="231">
        <f t="shared" si="7"/>
        <v>0.70792212297354462</v>
      </c>
      <c r="I12" s="231">
        <f t="shared" si="7"/>
        <v>0.70800749394578244</v>
      </c>
      <c r="J12" s="231">
        <f t="shared" si="7"/>
        <v>0.70800749394578244</v>
      </c>
      <c r="K12" s="231">
        <f t="shared" si="7"/>
        <v>0.70831100538889458</v>
      </c>
      <c r="L12" s="231">
        <f t="shared" si="7"/>
        <v>0.70831100538889458</v>
      </c>
      <c r="M12" s="231">
        <f t="shared" si="7"/>
        <v>0.70846145353608025</v>
      </c>
      <c r="N12" s="231">
        <f t="shared" si="7"/>
        <v>0.70846145353608025</v>
      </c>
      <c r="O12" s="231">
        <f t="shared" si="7"/>
        <v>0.7070364735358925</v>
      </c>
      <c r="P12" s="231">
        <f t="shared" si="7"/>
        <v>0.7070364735358925</v>
      </c>
      <c r="Q12" s="231">
        <f t="shared" si="7"/>
        <v>0.7070364735358925</v>
      </c>
      <c r="R12" s="231">
        <f t="shared" si="7"/>
        <v>0.7070364735358925</v>
      </c>
      <c r="S12" s="231">
        <f t="shared" si="7"/>
        <v>0.7070364735358925</v>
      </c>
      <c r="T12" s="231">
        <f t="shared" si="7"/>
        <v>0.70720223306655183</v>
      </c>
      <c r="U12" s="231">
        <f t="shared" si="7"/>
        <v>0.70720223306655183</v>
      </c>
      <c r="V12" s="231">
        <f t="shared" si="7"/>
        <v>0.70720223306655183</v>
      </c>
      <c r="W12" s="231">
        <f t="shared" si="7"/>
        <v>0.70720223306655183</v>
      </c>
      <c r="X12" s="231">
        <f t="shared" si="7"/>
        <v>0.70720223306655183</v>
      </c>
      <c r="Y12" s="231">
        <f t="shared" si="7"/>
        <v>0.70720223306655183</v>
      </c>
      <c r="Z12" s="231">
        <f t="shared" si="7"/>
        <v>0.70720223306655183</v>
      </c>
      <c r="AA12" s="231">
        <f t="shared" si="7"/>
        <v>0.70577254656637012</v>
      </c>
      <c r="AB12" s="231">
        <f t="shared" si="7"/>
        <v>0.70428111532884896</v>
      </c>
      <c r="AC12" s="231">
        <f t="shared" si="7"/>
        <v>0.70428111532884896</v>
      </c>
      <c r="AD12" s="231">
        <f t="shared" si="7"/>
        <v>0.70428111532884896</v>
      </c>
      <c r="AE12" s="231">
        <f t="shared" si="7"/>
        <v>0.70428111532884896</v>
      </c>
      <c r="AF12" s="231">
        <f t="shared" si="7"/>
        <v>0.70428111532884896</v>
      </c>
      <c r="AG12" s="231">
        <f t="shared" si="7"/>
        <v>0.70428111532884896</v>
      </c>
      <c r="AH12" s="231">
        <f t="shared" si="7"/>
        <v>0.70428111532884896</v>
      </c>
      <c r="AI12" s="231">
        <f t="shared" si="7"/>
        <v>0.70428111532884896</v>
      </c>
      <c r="AJ12" s="231">
        <f t="shared" si="7"/>
        <v>0.70428111532884896</v>
      </c>
      <c r="AK12" s="231">
        <f t="shared" si="7"/>
        <v>0.70428111532884896</v>
      </c>
      <c r="AL12" s="231">
        <f t="shared" si="7"/>
        <v>0.70428111532884896</v>
      </c>
      <c r="AM12" s="242">
        <f>IF(AM9=0,0,AM11/AM9)</f>
        <v>0.70818027989558718</v>
      </c>
      <c r="AN12" s="242">
        <f t="shared" ref="AN12:AP12" si="8">IF(AN9=0,0,AN11/AN9)</f>
        <v>0.70713329121745683</v>
      </c>
      <c r="AO12" s="242">
        <f t="shared" si="8"/>
        <v>0.70440848812103152</v>
      </c>
      <c r="AP12" s="242">
        <f t="shared" si="8"/>
        <v>0.70598854366168051</v>
      </c>
      <c r="AQ12" s="206"/>
      <c r="AR12" s="198" t="s">
        <v>96</v>
      </c>
      <c r="AS12" s="208"/>
      <c r="AT12" s="231">
        <f>IF(AT9=0,0,AT11/AT9)</f>
        <v>0</v>
      </c>
      <c r="AU12" s="231">
        <f t="shared" ref="AU12:CC12" si="9">IF(AU9=0,0,AU11/AU9)</f>
        <v>0</v>
      </c>
      <c r="AV12" s="231">
        <f t="shared" si="9"/>
        <v>0</v>
      </c>
      <c r="AW12" s="231">
        <f t="shared" si="9"/>
        <v>0</v>
      </c>
      <c r="AX12" s="231">
        <f t="shared" si="9"/>
        <v>0</v>
      </c>
      <c r="AY12" s="231">
        <f t="shared" si="9"/>
        <v>0</v>
      </c>
      <c r="AZ12" s="231">
        <f t="shared" si="9"/>
        <v>0</v>
      </c>
      <c r="BA12" s="231">
        <f t="shared" si="9"/>
        <v>0</v>
      </c>
      <c r="BB12" s="231">
        <f t="shared" si="9"/>
        <v>0</v>
      </c>
      <c r="BC12" s="231">
        <f t="shared" si="9"/>
        <v>0</v>
      </c>
      <c r="BD12" s="231">
        <f t="shared" si="9"/>
        <v>0</v>
      </c>
      <c r="BE12" s="231">
        <f t="shared" si="9"/>
        <v>0</v>
      </c>
      <c r="BF12" s="231">
        <f t="shared" si="9"/>
        <v>0</v>
      </c>
      <c r="BG12" s="231">
        <f t="shared" si="9"/>
        <v>0</v>
      </c>
      <c r="BH12" s="231">
        <f t="shared" si="9"/>
        <v>0</v>
      </c>
      <c r="BI12" s="231">
        <f t="shared" si="9"/>
        <v>0</v>
      </c>
      <c r="BJ12" s="231">
        <f t="shared" si="9"/>
        <v>0</v>
      </c>
      <c r="BK12" s="231">
        <f t="shared" si="9"/>
        <v>0</v>
      </c>
      <c r="BL12" s="231">
        <f t="shared" si="9"/>
        <v>0</v>
      </c>
      <c r="BM12" s="231">
        <f t="shared" si="9"/>
        <v>0</v>
      </c>
      <c r="BN12" s="231">
        <f t="shared" si="9"/>
        <v>0</v>
      </c>
      <c r="BO12" s="231">
        <f t="shared" si="9"/>
        <v>0</v>
      </c>
      <c r="BP12" s="231">
        <f t="shared" si="9"/>
        <v>0</v>
      </c>
      <c r="BQ12" s="231">
        <f t="shared" si="9"/>
        <v>0</v>
      </c>
      <c r="BR12" s="231">
        <f t="shared" si="9"/>
        <v>0</v>
      </c>
      <c r="BS12" s="231">
        <f t="shared" si="9"/>
        <v>0</v>
      </c>
      <c r="BT12" s="231">
        <f t="shared" si="9"/>
        <v>0</v>
      </c>
      <c r="BU12" s="231">
        <f t="shared" si="9"/>
        <v>0</v>
      </c>
      <c r="BV12" s="231">
        <f t="shared" si="9"/>
        <v>0</v>
      </c>
      <c r="BW12" s="231">
        <f t="shared" si="9"/>
        <v>0</v>
      </c>
      <c r="BX12" s="231">
        <f t="shared" si="9"/>
        <v>0</v>
      </c>
      <c r="BY12" s="231">
        <f t="shared" si="9"/>
        <v>0</v>
      </c>
      <c r="BZ12" s="231">
        <f t="shared" si="9"/>
        <v>0</v>
      </c>
      <c r="CA12" s="231">
        <f t="shared" si="9"/>
        <v>0</v>
      </c>
      <c r="CB12" s="231">
        <f t="shared" si="9"/>
        <v>0</v>
      </c>
      <c r="CC12" s="231">
        <f t="shared" si="9"/>
        <v>0</v>
      </c>
      <c r="CD12" s="242">
        <f>IF(CD9=0,0,CD11/CD9)</f>
        <v>0</v>
      </c>
      <c r="CE12" s="242">
        <f>IF(CE9=0,0,CE11/CE9)</f>
        <v>0</v>
      </c>
      <c r="CF12" s="242">
        <f t="shared" ref="CF12" si="10">IF(CF9=0,0,CF11/CF9)</f>
        <v>0</v>
      </c>
      <c r="CG12" s="242">
        <f>IF(CG9=0,0,CG11/CG9)</f>
        <v>0</v>
      </c>
    </row>
    <row r="13" spans="1:85" s="198" customFormat="1">
      <c r="A13" s="198" t="s">
        <v>97</v>
      </c>
      <c r="B13" s="229"/>
      <c r="C13" s="230" t="e">
        <f>('PL OFT_2'!I16-'PL OFT_2'!I52)</f>
        <v>#REF!</v>
      </c>
      <c r="D13" s="230" t="e">
        <f>('PL OFT_2'!J16-'PL OFT_2'!J52)</f>
        <v>#REF!</v>
      </c>
      <c r="E13" s="230" t="e">
        <f>('PL OFT_2'!K16-'PL OFT_2'!K52)</f>
        <v>#REF!</v>
      </c>
      <c r="F13" s="230" t="e">
        <f>('PL OFT_2'!L16-'PL OFT_2'!L52)</f>
        <v>#REF!</v>
      </c>
      <c r="G13" s="230" t="e">
        <f>('PL OFT_2'!M16-'PL OFT_2'!M52)</f>
        <v>#REF!</v>
      </c>
      <c r="H13" s="230" t="e">
        <f>('PL OFT_2'!N16-'PL OFT_2'!N52)</f>
        <v>#REF!</v>
      </c>
      <c r="I13" s="230" t="e">
        <f>('PL OFT_2'!O16-'PL OFT_2'!O52)</f>
        <v>#REF!</v>
      </c>
      <c r="J13" s="230" t="e">
        <f>('PL OFT_2'!P16-'PL OFT_2'!P52)</f>
        <v>#REF!</v>
      </c>
      <c r="K13" s="230" t="e">
        <f>('PL OFT_2'!Q16-'PL OFT_2'!Q52)</f>
        <v>#REF!</v>
      </c>
      <c r="L13" s="230" t="e">
        <f>('PL OFT_2'!R16-'PL OFT_2'!R52)</f>
        <v>#REF!</v>
      </c>
      <c r="M13" s="230" t="e">
        <f>('PL OFT_2'!S16-'PL OFT_2'!S52)</f>
        <v>#REF!</v>
      </c>
      <c r="N13" s="230" t="e">
        <f>('PL OFT_2'!T16-'PL OFT_2'!T52)</f>
        <v>#REF!</v>
      </c>
      <c r="O13" s="230" t="e">
        <f>('PL OFT_2'!U16-'PL OFT_2'!U52)</f>
        <v>#REF!</v>
      </c>
      <c r="P13" s="230" t="e">
        <f>('PL OFT_2'!V16-'PL OFT_2'!V52)</f>
        <v>#REF!</v>
      </c>
      <c r="Q13" s="230" t="e">
        <f>('PL OFT_2'!W16-'PL OFT_2'!W52)</f>
        <v>#REF!</v>
      </c>
      <c r="R13" s="230" t="e">
        <f>('PL OFT_2'!X16-'PL OFT_2'!X52)</f>
        <v>#REF!</v>
      </c>
      <c r="S13" s="230" t="e">
        <f>('PL OFT_2'!Y16-'PL OFT_2'!Y52)</f>
        <v>#REF!</v>
      </c>
      <c r="T13" s="230" t="e">
        <f>('PL OFT_2'!Z16-'PL OFT_2'!Z52)</f>
        <v>#REF!</v>
      </c>
      <c r="U13" s="230" t="e">
        <f>('PL OFT_2'!AA16-'PL OFT_2'!AA52)</f>
        <v>#REF!</v>
      </c>
      <c r="V13" s="230" t="e">
        <f>('PL OFT_2'!AB16-'PL OFT_2'!AB52)</f>
        <v>#REF!</v>
      </c>
      <c r="W13" s="230" t="e">
        <f>('PL OFT_2'!AC16-'PL OFT_2'!AC52)</f>
        <v>#REF!</v>
      </c>
      <c r="X13" s="230" t="e">
        <f>('PL OFT_2'!AD16-'PL OFT_2'!AD52)</f>
        <v>#REF!</v>
      </c>
      <c r="Y13" s="230" t="e">
        <f>('PL OFT_2'!AE16-'PL OFT_2'!AE52)</f>
        <v>#REF!</v>
      </c>
      <c r="Z13" s="230" t="e">
        <f>('PL OFT_2'!AF16-'PL OFT_2'!AF52)</f>
        <v>#REF!</v>
      </c>
      <c r="AA13" s="230" t="e">
        <f>('PL OFT_2'!AG16-'PL OFT_2'!AG52)</f>
        <v>#REF!</v>
      </c>
      <c r="AB13" s="230" t="e">
        <f>('PL OFT_2'!AH16-'PL OFT_2'!AH52)</f>
        <v>#REF!</v>
      </c>
      <c r="AC13" s="230" t="e">
        <f>('PL OFT_2'!AI16-'PL OFT_2'!AI52)</f>
        <v>#REF!</v>
      </c>
      <c r="AD13" s="230" t="e">
        <f>('PL OFT_2'!AJ16-'PL OFT_2'!AJ52)</f>
        <v>#REF!</v>
      </c>
      <c r="AE13" s="230" t="e">
        <f>('PL OFT_2'!AK16-'PL OFT_2'!AK52)</f>
        <v>#REF!</v>
      </c>
      <c r="AF13" s="230" t="e">
        <f>('PL OFT_2'!AL16-'PL OFT_2'!AL52)</f>
        <v>#REF!</v>
      </c>
      <c r="AG13" s="230" t="e">
        <f>('PL OFT_2'!AM16-'PL OFT_2'!AM52)</f>
        <v>#REF!</v>
      </c>
      <c r="AH13" s="230" t="e">
        <f>('PL OFT_2'!AN16-'PL OFT_2'!AN52)</f>
        <v>#REF!</v>
      </c>
      <c r="AI13" s="230" t="e">
        <f>('PL OFT_2'!AO16-'PL OFT_2'!AO52)</f>
        <v>#REF!</v>
      </c>
      <c r="AJ13" s="230" t="e">
        <f>('PL OFT_2'!AP16-'PL OFT_2'!AP52)</f>
        <v>#REF!</v>
      </c>
      <c r="AK13" s="230" t="e">
        <f>('PL OFT_2'!AQ16-'PL OFT_2'!AQ52)</f>
        <v>#REF!</v>
      </c>
      <c r="AL13" s="230" t="e">
        <f>('PL OFT_2'!AR16-'PL OFT_2'!AR52)</f>
        <v>#REF!</v>
      </c>
      <c r="AM13" s="241" t="e">
        <f>SUMIF($C$2:$AL$2,AM$2,$C13:$AL13)</f>
        <v>#REF!</v>
      </c>
      <c r="AN13" s="241" t="e">
        <f>SUMIF($C$2:$AL$2,AN$2,$C13:$AL13)</f>
        <v>#REF!</v>
      </c>
      <c r="AO13" s="241" t="e">
        <f>SUMIF($C$2:$AL$2,AO$2,$C13:$AL13)</f>
        <v>#REF!</v>
      </c>
      <c r="AP13" s="241" t="e">
        <f>SUM(AM13:AO13)</f>
        <v>#REF!</v>
      </c>
      <c r="AQ13" s="206"/>
      <c r="AR13" s="198" t="s">
        <v>97</v>
      </c>
      <c r="AS13" s="229"/>
      <c r="AT13" s="230">
        <f ca="1">('PL Optic_2'!I15-'PL Optic_2'!I51)</f>
        <v>0</v>
      </c>
      <c r="AU13" s="230">
        <f ca="1">('PL Optic_2'!J15-'PL Optic_2'!J51)</f>
        <v>0</v>
      </c>
      <c r="AV13" s="230">
        <f ca="1">('PL Optic_2'!K15-'PL Optic_2'!K51)</f>
        <v>0</v>
      </c>
      <c r="AW13" s="230">
        <f ca="1">('PL Optic_2'!L15-'PL Optic_2'!L51)</f>
        <v>0</v>
      </c>
      <c r="AX13" s="230">
        <f ca="1">('PL Optic_2'!M15-'PL Optic_2'!M51)</f>
        <v>0</v>
      </c>
      <c r="AY13" s="230">
        <f ca="1">('PL Optic_2'!N15-'PL Optic_2'!N51)</f>
        <v>0</v>
      </c>
      <c r="AZ13" s="230">
        <f ca="1">('PL Optic_2'!O15-'PL Optic_2'!O51)</f>
        <v>0</v>
      </c>
      <c r="BA13" s="230">
        <f ca="1">('PL Optic_2'!P15-'PL Optic_2'!P51)</f>
        <v>0</v>
      </c>
      <c r="BB13" s="230">
        <f ca="1">('PL Optic_2'!Q15-'PL Optic_2'!Q51)</f>
        <v>0</v>
      </c>
      <c r="BC13" s="230">
        <f ca="1">('PL Optic_2'!R15-'PL Optic_2'!R51)</f>
        <v>0</v>
      </c>
      <c r="BD13" s="230">
        <f ca="1">('PL Optic_2'!S15-'PL Optic_2'!S51)</f>
        <v>0</v>
      </c>
      <c r="BE13" s="230">
        <f ca="1">('PL Optic_2'!T15-'PL Optic_2'!T51)</f>
        <v>0</v>
      </c>
      <c r="BF13" s="230">
        <f ca="1">('PL Optic_2'!U15-'PL Optic_2'!U51)</f>
        <v>0</v>
      </c>
      <c r="BG13" s="230">
        <f ca="1">('PL Optic_2'!V15-'PL Optic_2'!V51)</f>
        <v>0</v>
      </c>
      <c r="BH13" s="230">
        <f ca="1">('PL Optic_2'!W15-'PL Optic_2'!W51)</f>
        <v>0</v>
      </c>
      <c r="BI13" s="230">
        <f ca="1">('PL Optic_2'!X15-'PL Optic_2'!X51)</f>
        <v>0</v>
      </c>
      <c r="BJ13" s="230">
        <f ca="1">('PL Optic_2'!Y15-'PL Optic_2'!Y51)</f>
        <v>0</v>
      </c>
      <c r="BK13" s="230">
        <f ca="1">('PL Optic_2'!Z15-'PL Optic_2'!Z51)</f>
        <v>0</v>
      </c>
      <c r="BL13" s="230">
        <f ca="1">('PL Optic_2'!AA15-'PL Optic_2'!AA51)</f>
        <v>0</v>
      </c>
      <c r="BM13" s="230">
        <f ca="1">('PL Optic_2'!AB15-'PL Optic_2'!AB51)</f>
        <v>0</v>
      </c>
      <c r="BN13" s="230">
        <f ca="1">('PL Optic_2'!AC15-'PL Optic_2'!AC51)</f>
        <v>0</v>
      </c>
      <c r="BO13" s="230">
        <f ca="1">('PL Optic_2'!AD15-'PL Optic_2'!AD51)</f>
        <v>0</v>
      </c>
      <c r="BP13" s="230">
        <f ca="1">('PL Optic_2'!AE15-'PL Optic_2'!AE51)</f>
        <v>0</v>
      </c>
      <c r="BQ13" s="230">
        <f ca="1">('PL Optic_2'!AF15-'PL Optic_2'!AF51)</f>
        <v>0</v>
      </c>
      <c r="BR13" s="230">
        <f ca="1">('PL Optic_2'!AG15-'PL Optic_2'!AG51)</f>
        <v>0</v>
      </c>
      <c r="BS13" s="230">
        <f ca="1">('PL Optic_2'!AH15-'PL Optic_2'!AH51)</f>
        <v>0</v>
      </c>
      <c r="BT13" s="230">
        <f ca="1">('PL Optic_2'!AI15-'PL Optic_2'!AI51)</f>
        <v>0</v>
      </c>
      <c r="BU13" s="230">
        <f ca="1">('PL Optic_2'!AJ15-'PL Optic_2'!AJ51)</f>
        <v>0</v>
      </c>
      <c r="BV13" s="230">
        <f ca="1">('PL Optic_2'!AK15-'PL Optic_2'!AK51)</f>
        <v>0</v>
      </c>
      <c r="BW13" s="230">
        <f ca="1">('PL Optic_2'!AL15-'PL Optic_2'!AL51)</f>
        <v>0</v>
      </c>
      <c r="BX13" s="230">
        <f ca="1">('PL Optic_2'!AM15-'PL Optic_2'!AM51)</f>
        <v>0</v>
      </c>
      <c r="BY13" s="230">
        <f ca="1">('PL Optic_2'!AN15-'PL Optic_2'!AN51)</f>
        <v>0</v>
      </c>
      <c r="BZ13" s="230">
        <f ca="1">('PL Optic_2'!AO15-'PL Optic_2'!AO51)</f>
        <v>0</v>
      </c>
      <c r="CA13" s="230">
        <f ca="1">('PL Optic_2'!AP15-'PL Optic_2'!AP51)</f>
        <v>0</v>
      </c>
      <c r="CB13" s="230">
        <f ca="1">('PL Optic_2'!AQ15-'PL Optic_2'!AQ51)</f>
        <v>0</v>
      </c>
      <c r="CC13" s="230">
        <f ca="1">('PL Optic_2'!AR15-'PL Optic_2'!AR51)</f>
        <v>0</v>
      </c>
      <c r="CD13" s="241">
        <f ca="1">SUMIF($AT$2:$CC$2,CD$2,$AT13:$CC13)</f>
        <v>0</v>
      </c>
      <c r="CE13" s="241">
        <f t="shared" ref="CE13:CF13" ca="1" si="11">SUMIF($AT$2:$CC$2,CE$2,$AT13:$CC13)</f>
        <v>0</v>
      </c>
      <c r="CF13" s="241">
        <f t="shared" ca="1" si="11"/>
        <v>0</v>
      </c>
      <c r="CG13" s="241">
        <f ca="1">SUM(CD13:CF13)</f>
        <v>0</v>
      </c>
    </row>
    <row r="14" spans="1:85" s="201" customFormat="1">
      <c r="A14" s="201" t="s">
        <v>98</v>
      </c>
      <c r="B14" s="229" t="e">
        <f>AP14</f>
        <v>#REF!</v>
      </c>
      <c r="C14" s="232" t="e">
        <f>C11-C13</f>
        <v>#REF!</v>
      </c>
      <c r="D14" s="232" t="e">
        <f t="shared" ref="D14:AL14" si="12">D11-D13</f>
        <v>#REF!</v>
      </c>
      <c r="E14" s="232" t="e">
        <f t="shared" si="12"/>
        <v>#REF!</v>
      </c>
      <c r="F14" s="232" t="e">
        <f t="shared" si="12"/>
        <v>#REF!</v>
      </c>
      <c r="G14" s="232" t="e">
        <f t="shared" si="12"/>
        <v>#REF!</v>
      </c>
      <c r="H14" s="232" t="e">
        <f t="shared" si="12"/>
        <v>#REF!</v>
      </c>
      <c r="I14" s="232" t="e">
        <f t="shared" si="12"/>
        <v>#REF!</v>
      </c>
      <c r="J14" s="232" t="e">
        <f t="shared" si="12"/>
        <v>#REF!</v>
      </c>
      <c r="K14" s="232" t="e">
        <f t="shared" si="12"/>
        <v>#REF!</v>
      </c>
      <c r="L14" s="232" t="e">
        <f t="shared" si="12"/>
        <v>#REF!</v>
      </c>
      <c r="M14" s="232" t="e">
        <f t="shared" si="12"/>
        <v>#REF!</v>
      </c>
      <c r="N14" s="232" t="e">
        <f t="shared" si="12"/>
        <v>#REF!</v>
      </c>
      <c r="O14" s="232" t="e">
        <f t="shared" si="12"/>
        <v>#REF!</v>
      </c>
      <c r="P14" s="232" t="e">
        <f t="shared" si="12"/>
        <v>#REF!</v>
      </c>
      <c r="Q14" s="232" t="e">
        <f t="shared" si="12"/>
        <v>#REF!</v>
      </c>
      <c r="R14" s="232" t="e">
        <f t="shared" si="12"/>
        <v>#REF!</v>
      </c>
      <c r="S14" s="232" t="e">
        <f t="shared" si="12"/>
        <v>#REF!</v>
      </c>
      <c r="T14" s="232" t="e">
        <f t="shared" si="12"/>
        <v>#REF!</v>
      </c>
      <c r="U14" s="232" t="e">
        <f t="shared" si="12"/>
        <v>#REF!</v>
      </c>
      <c r="V14" s="232" t="e">
        <f t="shared" si="12"/>
        <v>#REF!</v>
      </c>
      <c r="W14" s="232" t="e">
        <f t="shared" si="12"/>
        <v>#REF!</v>
      </c>
      <c r="X14" s="232" t="e">
        <f t="shared" si="12"/>
        <v>#REF!</v>
      </c>
      <c r="Y14" s="232" t="e">
        <f t="shared" si="12"/>
        <v>#REF!</v>
      </c>
      <c r="Z14" s="232" t="e">
        <f t="shared" si="12"/>
        <v>#REF!</v>
      </c>
      <c r="AA14" s="232" t="e">
        <f t="shared" si="12"/>
        <v>#REF!</v>
      </c>
      <c r="AB14" s="232" t="e">
        <f t="shared" si="12"/>
        <v>#REF!</v>
      </c>
      <c r="AC14" s="232" t="e">
        <f t="shared" si="12"/>
        <v>#REF!</v>
      </c>
      <c r="AD14" s="232" t="e">
        <f t="shared" si="12"/>
        <v>#REF!</v>
      </c>
      <c r="AE14" s="232" t="e">
        <f t="shared" si="12"/>
        <v>#REF!</v>
      </c>
      <c r="AF14" s="232" t="e">
        <f t="shared" si="12"/>
        <v>#REF!</v>
      </c>
      <c r="AG14" s="232" t="e">
        <f t="shared" si="12"/>
        <v>#REF!</v>
      </c>
      <c r="AH14" s="232" t="e">
        <f t="shared" si="12"/>
        <v>#REF!</v>
      </c>
      <c r="AI14" s="232" t="e">
        <f t="shared" si="12"/>
        <v>#REF!</v>
      </c>
      <c r="AJ14" s="232" t="e">
        <f t="shared" si="12"/>
        <v>#REF!</v>
      </c>
      <c r="AK14" s="232" t="e">
        <f t="shared" si="12"/>
        <v>#REF!</v>
      </c>
      <c r="AL14" s="232" t="e">
        <f t="shared" si="12"/>
        <v>#REF!</v>
      </c>
      <c r="AM14" s="240" t="e">
        <f t="shared" ref="AM14:AO14" si="13">AM11-AM13</f>
        <v>#REF!</v>
      </c>
      <c r="AN14" s="240" t="e">
        <f>AN11-AN13</f>
        <v>#REF!</v>
      </c>
      <c r="AO14" s="240" t="e">
        <f t="shared" si="13"/>
        <v>#REF!</v>
      </c>
      <c r="AP14" s="240" t="e">
        <f>SUM(AM14:AO14)</f>
        <v>#REF!</v>
      </c>
      <c r="AQ14" s="206"/>
      <c r="AR14" s="201" t="s">
        <v>98</v>
      </c>
      <c r="AS14" s="229">
        <f ca="1">CG14</f>
        <v>0</v>
      </c>
      <c r="AT14" s="232">
        <f ca="1">AT11-AT13</f>
        <v>0</v>
      </c>
      <c r="AU14" s="232">
        <f t="shared" ref="AU14:CC14" ca="1" si="14">AU11-AU13</f>
        <v>0</v>
      </c>
      <c r="AV14" s="232">
        <f t="shared" ca="1" si="14"/>
        <v>0</v>
      </c>
      <c r="AW14" s="232">
        <f t="shared" ca="1" si="14"/>
        <v>0</v>
      </c>
      <c r="AX14" s="232">
        <f t="shared" ca="1" si="14"/>
        <v>0</v>
      </c>
      <c r="AY14" s="232">
        <f t="shared" ca="1" si="14"/>
        <v>0</v>
      </c>
      <c r="AZ14" s="232">
        <f t="shared" ca="1" si="14"/>
        <v>0</v>
      </c>
      <c r="BA14" s="232">
        <f t="shared" ca="1" si="14"/>
        <v>0</v>
      </c>
      <c r="BB14" s="232">
        <f t="shared" ca="1" si="14"/>
        <v>0</v>
      </c>
      <c r="BC14" s="232">
        <f t="shared" ca="1" si="14"/>
        <v>0</v>
      </c>
      <c r="BD14" s="232">
        <f t="shared" ca="1" si="14"/>
        <v>0</v>
      </c>
      <c r="BE14" s="232">
        <f t="shared" ca="1" si="14"/>
        <v>0</v>
      </c>
      <c r="BF14" s="232">
        <f t="shared" ca="1" si="14"/>
        <v>0</v>
      </c>
      <c r="BG14" s="232">
        <f t="shared" ca="1" si="14"/>
        <v>0</v>
      </c>
      <c r="BH14" s="232">
        <f t="shared" ca="1" si="14"/>
        <v>0</v>
      </c>
      <c r="BI14" s="232">
        <f t="shared" ca="1" si="14"/>
        <v>0</v>
      </c>
      <c r="BJ14" s="232">
        <f t="shared" ca="1" si="14"/>
        <v>0</v>
      </c>
      <c r="BK14" s="232">
        <f t="shared" ca="1" si="14"/>
        <v>0</v>
      </c>
      <c r="BL14" s="232">
        <f t="shared" ca="1" si="14"/>
        <v>0</v>
      </c>
      <c r="BM14" s="232">
        <f t="shared" ca="1" si="14"/>
        <v>0</v>
      </c>
      <c r="BN14" s="232">
        <f t="shared" ca="1" si="14"/>
        <v>0</v>
      </c>
      <c r="BO14" s="232">
        <f t="shared" ca="1" si="14"/>
        <v>0</v>
      </c>
      <c r="BP14" s="232">
        <f t="shared" ca="1" si="14"/>
        <v>0</v>
      </c>
      <c r="BQ14" s="232">
        <f t="shared" ca="1" si="14"/>
        <v>0</v>
      </c>
      <c r="BR14" s="232">
        <f t="shared" ca="1" si="14"/>
        <v>0</v>
      </c>
      <c r="BS14" s="232">
        <f t="shared" ca="1" si="14"/>
        <v>0</v>
      </c>
      <c r="BT14" s="232">
        <f t="shared" ca="1" si="14"/>
        <v>0</v>
      </c>
      <c r="BU14" s="232">
        <f t="shared" ca="1" si="14"/>
        <v>0</v>
      </c>
      <c r="BV14" s="232">
        <f t="shared" ca="1" si="14"/>
        <v>0</v>
      </c>
      <c r="BW14" s="232">
        <f t="shared" ca="1" si="14"/>
        <v>0</v>
      </c>
      <c r="BX14" s="232">
        <f t="shared" ca="1" si="14"/>
        <v>0</v>
      </c>
      <c r="BY14" s="232">
        <f t="shared" ca="1" si="14"/>
        <v>0</v>
      </c>
      <c r="BZ14" s="232">
        <f t="shared" ca="1" si="14"/>
        <v>0</v>
      </c>
      <c r="CA14" s="232">
        <f t="shared" ca="1" si="14"/>
        <v>0</v>
      </c>
      <c r="CB14" s="232">
        <f t="shared" ca="1" si="14"/>
        <v>0</v>
      </c>
      <c r="CC14" s="232">
        <f t="shared" ca="1" si="14"/>
        <v>0</v>
      </c>
      <c r="CD14" s="240">
        <f t="shared" ref="CD14" ca="1" si="15">CD11-CD13</f>
        <v>0</v>
      </c>
      <c r="CE14" s="240">
        <f t="shared" ref="CE14" ca="1" si="16">CE11-CE13</f>
        <v>0</v>
      </c>
      <c r="CF14" s="240">
        <f t="shared" ref="CF14" ca="1" si="17">CF11-CF13</f>
        <v>0</v>
      </c>
      <c r="CG14" s="240">
        <f ca="1">SUM(CD14:CF14)</f>
        <v>0</v>
      </c>
    </row>
    <row r="15" spans="1:85" s="201" customFormat="1">
      <c r="A15" s="201" t="s">
        <v>99</v>
      </c>
      <c r="B15" s="208" t="e">
        <f t="shared" ref="B15" si="18">AP15</f>
        <v>#REF!</v>
      </c>
      <c r="C15" s="209" t="e">
        <f>IF(C9=0,0,C14/C9)</f>
        <v>#REF!</v>
      </c>
      <c r="D15" s="209" t="e">
        <f t="shared" ref="D15:AN15" si="19">IF(D9=0,0,D14/D9)</f>
        <v>#REF!</v>
      </c>
      <c r="E15" s="209" t="e">
        <f t="shared" si="19"/>
        <v>#REF!</v>
      </c>
      <c r="F15" s="209" t="e">
        <f t="shared" si="19"/>
        <v>#REF!</v>
      </c>
      <c r="G15" s="209" t="e">
        <f t="shared" si="19"/>
        <v>#REF!</v>
      </c>
      <c r="H15" s="209" t="e">
        <f t="shared" si="19"/>
        <v>#REF!</v>
      </c>
      <c r="I15" s="209" t="e">
        <f t="shared" si="19"/>
        <v>#REF!</v>
      </c>
      <c r="J15" s="209" t="e">
        <f t="shared" si="19"/>
        <v>#REF!</v>
      </c>
      <c r="K15" s="209" t="e">
        <f>IF(K9=0,0,K14/K9)</f>
        <v>#REF!</v>
      </c>
      <c r="L15" s="209" t="e">
        <f t="shared" si="19"/>
        <v>#REF!</v>
      </c>
      <c r="M15" s="209" t="e">
        <f t="shared" si="19"/>
        <v>#REF!</v>
      </c>
      <c r="N15" s="209" t="e">
        <f t="shared" si="19"/>
        <v>#REF!</v>
      </c>
      <c r="O15" s="209" t="e">
        <f t="shared" si="19"/>
        <v>#REF!</v>
      </c>
      <c r="P15" s="209" t="e">
        <f t="shared" si="19"/>
        <v>#REF!</v>
      </c>
      <c r="Q15" s="209" t="e">
        <f t="shared" si="19"/>
        <v>#REF!</v>
      </c>
      <c r="R15" s="209" t="e">
        <f t="shared" si="19"/>
        <v>#REF!</v>
      </c>
      <c r="S15" s="209" t="e">
        <f t="shared" si="19"/>
        <v>#REF!</v>
      </c>
      <c r="T15" s="209" t="e">
        <f t="shared" si="19"/>
        <v>#REF!</v>
      </c>
      <c r="U15" s="209" t="e">
        <f t="shared" si="19"/>
        <v>#REF!</v>
      </c>
      <c r="V15" s="209" t="e">
        <f t="shared" si="19"/>
        <v>#REF!</v>
      </c>
      <c r="W15" s="209" t="e">
        <f t="shared" si="19"/>
        <v>#REF!</v>
      </c>
      <c r="X15" s="209" t="e">
        <f t="shared" si="19"/>
        <v>#REF!</v>
      </c>
      <c r="Y15" s="209" t="e">
        <f t="shared" si="19"/>
        <v>#REF!</v>
      </c>
      <c r="Z15" s="209" t="e">
        <f t="shared" si="19"/>
        <v>#REF!</v>
      </c>
      <c r="AA15" s="209" t="e">
        <f t="shared" si="19"/>
        <v>#REF!</v>
      </c>
      <c r="AB15" s="209" t="e">
        <f t="shared" si="19"/>
        <v>#REF!</v>
      </c>
      <c r="AC15" s="209" t="e">
        <f t="shared" si="19"/>
        <v>#REF!</v>
      </c>
      <c r="AD15" s="209" t="e">
        <f t="shared" si="19"/>
        <v>#REF!</v>
      </c>
      <c r="AE15" s="209" t="e">
        <f t="shared" si="19"/>
        <v>#REF!</v>
      </c>
      <c r="AF15" s="209" t="e">
        <f t="shared" si="19"/>
        <v>#REF!</v>
      </c>
      <c r="AG15" s="209" t="e">
        <f t="shared" si="19"/>
        <v>#REF!</v>
      </c>
      <c r="AH15" s="209" t="e">
        <f t="shared" si="19"/>
        <v>#REF!</v>
      </c>
      <c r="AI15" s="209" t="e">
        <f t="shared" si="19"/>
        <v>#REF!</v>
      </c>
      <c r="AJ15" s="209" t="e">
        <f t="shared" si="19"/>
        <v>#REF!</v>
      </c>
      <c r="AK15" s="209" t="e">
        <f t="shared" si="19"/>
        <v>#REF!</v>
      </c>
      <c r="AL15" s="209" t="e">
        <f t="shared" si="19"/>
        <v>#REF!</v>
      </c>
      <c r="AM15" s="243" t="e">
        <f t="shared" si="19"/>
        <v>#REF!</v>
      </c>
      <c r="AN15" s="243" t="e">
        <f t="shared" si="19"/>
        <v>#REF!</v>
      </c>
      <c r="AO15" s="243" t="e">
        <f>IF(AO9=0,0,AO14/AO9)</f>
        <v>#REF!</v>
      </c>
      <c r="AP15" s="243" t="e">
        <f>IF(AP9=0,0,AP14/AP9)</f>
        <v>#REF!</v>
      </c>
      <c r="AR15" s="201" t="s">
        <v>99</v>
      </c>
      <c r="AS15" s="208">
        <f t="shared" ref="AS15" si="20">CG15</f>
        <v>0</v>
      </c>
      <c r="AT15" s="209">
        <f>IF(AT9=0,0,AT14/AT9)</f>
        <v>0</v>
      </c>
      <c r="AU15" s="209">
        <f t="shared" ref="AU15:BA15" si="21">IF(AU9=0,0,AU14/AU9)</f>
        <v>0</v>
      </c>
      <c r="AV15" s="209">
        <f t="shared" si="21"/>
        <v>0</v>
      </c>
      <c r="AW15" s="209">
        <f t="shared" si="21"/>
        <v>0</v>
      </c>
      <c r="AX15" s="209">
        <f t="shared" si="21"/>
        <v>0</v>
      </c>
      <c r="AY15" s="209">
        <f t="shared" si="21"/>
        <v>0</v>
      </c>
      <c r="AZ15" s="209">
        <f t="shared" si="21"/>
        <v>0</v>
      </c>
      <c r="BA15" s="209">
        <f t="shared" si="21"/>
        <v>0</v>
      </c>
      <c r="BB15" s="209">
        <f>IF(BB9=0,0,BB14/BB9)</f>
        <v>0</v>
      </c>
      <c r="BC15" s="209">
        <f t="shared" ref="BC15:CD15" si="22">IF(BC9=0,0,BC14/BC9)</f>
        <v>0</v>
      </c>
      <c r="BD15" s="209">
        <f t="shared" si="22"/>
        <v>0</v>
      </c>
      <c r="BE15" s="209">
        <f t="shared" si="22"/>
        <v>0</v>
      </c>
      <c r="BF15" s="209">
        <f t="shared" si="22"/>
        <v>0</v>
      </c>
      <c r="BG15" s="209">
        <f t="shared" si="22"/>
        <v>0</v>
      </c>
      <c r="BH15" s="209">
        <f t="shared" si="22"/>
        <v>0</v>
      </c>
      <c r="BI15" s="209">
        <f t="shared" si="22"/>
        <v>0</v>
      </c>
      <c r="BJ15" s="209">
        <f t="shared" si="22"/>
        <v>0</v>
      </c>
      <c r="BK15" s="209">
        <f t="shared" si="22"/>
        <v>0</v>
      </c>
      <c r="BL15" s="209">
        <f t="shared" si="22"/>
        <v>0</v>
      </c>
      <c r="BM15" s="209">
        <f t="shared" si="22"/>
        <v>0</v>
      </c>
      <c r="BN15" s="209">
        <f t="shared" si="22"/>
        <v>0</v>
      </c>
      <c r="BO15" s="209">
        <f t="shared" si="22"/>
        <v>0</v>
      </c>
      <c r="BP15" s="209">
        <f t="shared" si="22"/>
        <v>0</v>
      </c>
      <c r="BQ15" s="209">
        <f t="shared" si="22"/>
        <v>0</v>
      </c>
      <c r="BR15" s="209">
        <f t="shared" si="22"/>
        <v>0</v>
      </c>
      <c r="BS15" s="209">
        <f t="shared" si="22"/>
        <v>0</v>
      </c>
      <c r="BT15" s="209">
        <f t="shared" si="22"/>
        <v>0</v>
      </c>
      <c r="BU15" s="209">
        <f t="shared" si="22"/>
        <v>0</v>
      </c>
      <c r="BV15" s="209">
        <f t="shared" si="22"/>
        <v>0</v>
      </c>
      <c r="BW15" s="209">
        <f t="shared" si="22"/>
        <v>0</v>
      </c>
      <c r="BX15" s="209">
        <f t="shared" si="22"/>
        <v>0</v>
      </c>
      <c r="BY15" s="209">
        <f t="shared" si="22"/>
        <v>0</v>
      </c>
      <c r="BZ15" s="209">
        <f t="shared" si="22"/>
        <v>0</v>
      </c>
      <c r="CA15" s="209">
        <f t="shared" si="22"/>
        <v>0</v>
      </c>
      <c r="CB15" s="209">
        <f t="shared" si="22"/>
        <v>0</v>
      </c>
      <c r="CC15" s="209">
        <f t="shared" si="22"/>
        <v>0</v>
      </c>
      <c r="CD15" s="243">
        <f t="shared" si="22"/>
        <v>0</v>
      </c>
      <c r="CE15" s="243">
        <f>IF(CE9=0,0,CE14/CE9)</f>
        <v>0</v>
      </c>
      <c r="CF15" s="243">
        <f>IF(CF9=0,0,CF14/CF9)</f>
        <v>0</v>
      </c>
      <c r="CG15" s="243">
        <f>IF(CG9=0,0,CG14/CG9)</f>
        <v>0</v>
      </c>
    </row>
    <row r="16" spans="1:85" s="198" customFormat="1">
      <c r="A16" s="198" t="s">
        <v>100</v>
      </c>
      <c r="B16" s="210">
        <v>0</v>
      </c>
      <c r="C16" s="211" t="e">
        <f>IF(C14&gt;0,C14*$B$16,0)</f>
        <v>#REF!</v>
      </c>
      <c r="D16" s="211" t="e">
        <f t="shared" ref="D16:AO16" si="23">IF(D14&gt;0,D14*$B$16,0)</f>
        <v>#REF!</v>
      </c>
      <c r="E16" s="211" t="e">
        <f t="shared" si="23"/>
        <v>#REF!</v>
      </c>
      <c r="F16" s="211" t="e">
        <f t="shared" si="23"/>
        <v>#REF!</v>
      </c>
      <c r="G16" s="211" t="e">
        <f t="shared" si="23"/>
        <v>#REF!</v>
      </c>
      <c r="H16" s="211" t="e">
        <f t="shared" si="23"/>
        <v>#REF!</v>
      </c>
      <c r="I16" s="211" t="e">
        <f t="shared" si="23"/>
        <v>#REF!</v>
      </c>
      <c r="J16" s="211" t="e">
        <f t="shared" si="23"/>
        <v>#REF!</v>
      </c>
      <c r="K16" s="211" t="e">
        <f t="shared" si="23"/>
        <v>#REF!</v>
      </c>
      <c r="L16" s="211" t="e">
        <f t="shared" si="23"/>
        <v>#REF!</v>
      </c>
      <c r="M16" s="211" t="e">
        <f t="shared" si="23"/>
        <v>#REF!</v>
      </c>
      <c r="N16" s="211" t="e">
        <f t="shared" si="23"/>
        <v>#REF!</v>
      </c>
      <c r="O16" s="211" t="e">
        <f t="shared" si="23"/>
        <v>#REF!</v>
      </c>
      <c r="P16" s="211" t="e">
        <f t="shared" si="23"/>
        <v>#REF!</v>
      </c>
      <c r="Q16" s="211" t="e">
        <f t="shared" si="23"/>
        <v>#REF!</v>
      </c>
      <c r="R16" s="211" t="e">
        <f t="shared" si="23"/>
        <v>#REF!</v>
      </c>
      <c r="S16" s="211" t="e">
        <f t="shared" si="23"/>
        <v>#REF!</v>
      </c>
      <c r="T16" s="211" t="e">
        <f t="shared" si="23"/>
        <v>#REF!</v>
      </c>
      <c r="U16" s="211" t="e">
        <f t="shared" si="23"/>
        <v>#REF!</v>
      </c>
      <c r="V16" s="211" t="e">
        <f t="shared" si="23"/>
        <v>#REF!</v>
      </c>
      <c r="W16" s="211" t="e">
        <f t="shared" si="23"/>
        <v>#REF!</v>
      </c>
      <c r="X16" s="211" t="e">
        <f t="shared" si="23"/>
        <v>#REF!</v>
      </c>
      <c r="Y16" s="211" t="e">
        <f t="shared" si="23"/>
        <v>#REF!</v>
      </c>
      <c r="Z16" s="211" t="e">
        <f t="shared" si="23"/>
        <v>#REF!</v>
      </c>
      <c r="AA16" s="211" t="e">
        <f t="shared" si="23"/>
        <v>#REF!</v>
      </c>
      <c r="AB16" s="211" t="e">
        <f t="shared" si="23"/>
        <v>#REF!</v>
      </c>
      <c r="AC16" s="211" t="e">
        <f t="shared" si="23"/>
        <v>#REF!</v>
      </c>
      <c r="AD16" s="211" t="e">
        <f t="shared" si="23"/>
        <v>#REF!</v>
      </c>
      <c r="AE16" s="211" t="e">
        <f t="shared" si="23"/>
        <v>#REF!</v>
      </c>
      <c r="AF16" s="211" t="e">
        <f t="shared" si="23"/>
        <v>#REF!</v>
      </c>
      <c r="AG16" s="211" t="e">
        <f t="shared" si="23"/>
        <v>#REF!</v>
      </c>
      <c r="AH16" s="211" t="e">
        <f t="shared" si="23"/>
        <v>#REF!</v>
      </c>
      <c r="AI16" s="211" t="e">
        <f t="shared" si="23"/>
        <v>#REF!</v>
      </c>
      <c r="AJ16" s="211" t="e">
        <f t="shared" si="23"/>
        <v>#REF!</v>
      </c>
      <c r="AK16" s="211" t="e">
        <f t="shared" si="23"/>
        <v>#REF!</v>
      </c>
      <c r="AL16" s="211" t="e">
        <f t="shared" si="23"/>
        <v>#REF!</v>
      </c>
      <c r="AM16" s="244" t="e">
        <f t="shared" si="23"/>
        <v>#REF!</v>
      </c>
      <c r="AN16" s="244" t="e">
        <f>IF(AN14&gt;0,AN14*$B$16,0)</f>
        <v>#REF!</v>
      </c>
      <c r="AO16" s="244" t="e">
        <f t="shared" si="23"/>
        <v>#REF!</v>
      </c>
      <c r="AP16" s="245" t="e">
        <f>AM16+AN16</f>
        <v>#REF!</v>
      </c>
      <c r="AR16" s="198" t="s">
        <v>100</v>
      </c>
      <c r="AS16" s="210">
        <v>0</v>
      </c>
      <c r="AT16" s="211">
        <f ca="1">IF(AT14&gt;0,AT14*$B$16,0)</f>
        <v>0</v>
      </c>
      <c r="AU16" s="211">
        <f t="shared" ref="AU16:CF16" ca="1" si="24">IF(AU14&gt;0,AU14*$B$16,0)</f>
        <v>0</v>
      </c>
      <c r="AV16" s="211">
        <f t="shared" ca="1" si="24"/>
        <v>0</v>
      </c>
      <c r="AW16" s="211">
        <f t="shared" ca="1" si="24"/>
        <v>0</v>
      </c>
      <c r="AX16" s="211">
        <f t="shared" ca="1" si="24"/>
        <v>0</v>
      </c>
      <c r="AY16" s="211">
        <f t="shared" ca="1" si="24"/>
        <v>0</v>
      </c>
      <c r="AZ16" s="211">
        <f t="shared" ca="1" si="24"/>
        <v>0</v>
      </c>
      <c r="BA16" s="211">
        <f t="shared" ca="1" si="24"/>
        <v>0</v>
      </c>
      <c r="BB16" s="211">
        <f t="shared" ca="1" si="24"/>
        <v>0</v>
      </c>
      <c r="BC16" s="211">
        <f t="shared" ca="1" si="24"/>
        <v>0</v>
      </c>
      <c r="BD16" s="211">
        <f t="shared" ca="1" si="24"/>
        <v>0</v>
      </c>
      <c r="BE16" s="211">
        <f t="shared" ca="1" si="24"/>
        <v>0</v>
      </c>
      <c r="BF16" s="211">
        <f t="shared" ca="1" si="24"/>
        <v>0</v>
      </c>
      <c r="BG16" s="211">
        <f t="shared" ca="1" si="24"/>
        <v>0</v>
      </c>
      <c r="BH16" s="211">
        <f t="shared" ca="1" si="24"/>
        <v>0</v>
      </c>
      <c r="BI16" s="211">
        <f t="shared" ca="1" si="24"/>
        <v>0</v>
      </c>
      <c r="BJ16" s="211">
        <f t="shared" ca="1" si="24"/>
        <v>0</v>
      </c>
      <c r="BK16" s="211">
        <f t="shared" ca="1" si="24"/>
        <v>0</v>
      </c>
      <c r="BL16" s="211">
        <f t="shared" ca="1" si="24"/>
        <v>0</v>
      </c>
      <c r="BM16" s="211">
        <f t="shared" ca="1" si="24"/>
        <v>0</v>
      </c>
      <c r="BN16" s="211">
        <f t="shared" ca="1" si="24"/>
        <v>0</v>
      </c>
      <c r="BO16" s="211">
        <f t="shared" ca="1" si="24"/>
        <v>0</v>
      </c>
      <c r="BP16" s="211">
        <f t="shared" ca="1" si="24"/>
        <v>0</v>
      </c>
      <c r="BQ16" s="211">
        <f t="shared" ca="1" si="24"/>
        <v>0</v>
      </c>
      <c r="BR16" s="211">
        <f t="shared" ca="1" si="24"/>
        <v>0</v>
      </c>
      <c r="BS16" s="211">
        <f t="shared" ca="1" si="24"/>
        <v>0</v>
      </c>
      <c r="BT16" s="211">
        <f t="shared" ca="1" si="24"/>
        <v>0</v>
      </c>
      <c r="BU16" s="211">
        <f t="shared" ca="1" si="24"/>
        <v>0</v>
      </c>
      <c r="BV16" s="211">
        <f t="shared" ca="1" si="24"/>
        <v>0</v>
      </c>
      <c r="BW16" s="211">
        <f t="shared" ca="1" si="24"/>
        <v>0</v>
      </c>
      <c r="BX16" s="211">
        <f t="shared" ca="1" si="24"/>
        <v>0</v>
      </c>
      <c r="BY16" s="211">
        <f t="shared" ca="1" si="24"/>
        <v>0</v>
      </c>
      <c r="BZ16" s="211">
        <f t="shared" ca="1" si="24"/>
        <v>0</v>
      </c>
      <c r="CA16" s="211">
        <f t="shared" ca="1" si="24"/>
        <v>0</v>
      </c>
      <c r="CB16" s="211">
        <f t="shared" ca="1" si="24"/>
        <v>0</v>
      </c>
      <c r="CC16" s="211">
        <f t="shared" ca="1" si="24"/>
        <v>0</v>
      </c>
      <c r="CD16" s="244">
        <f t="shared" ca="1" si="24"/>
        <v>0</v>
      </c>
      <c r="CE16" s="244">
        <f t="shared" ca="1" si="24"/>
        <v>0</v>
      </c>
      <c r="CF16" s="244">
        <f t="shared" ca="1" si="24"/>
        <v>0</v>
      </c>
      <c r="CG16" s="245">
        <f ca="1">CD16+CE16</f>
        <v>0</v>
      </c>
    </row>
    <row r="17" spans="1:85" s="198" customFormat="1">
      <c r="A17" s="198" t="s">
        <v>101</v>
      </c>
      <c r="B17" s="197"/>
      <c r="C17" s="207" t="e">
        <f>C14-C16</f>
        <v>#REF!</v>
      </c>
      <c r="D17" s="207" t="e">
        <f t="shared" ref="D17:AN17" si="25">D14-D16</f>
        <v>#REF!</v>
      </c>
      <c r="E17" s="207" t="e">
        <f t="shared" si="25"/>
        <v>#REF!</v>
      </c>
      <c r="F17" s="207" t="e">
        <f t="shared" si="25"/>
        <v>#REF!</v>
      </c>
      <c r="G17" s="207" t="e">
        <f t="shared" si="25"/>
        <v>#REF!</v>
      </c>
      <c r="H17" s="207" t="e">
        <f t="shared" si="25"/>
        <v>#REF!</v>
      </c>
      <c r="I17" s="207" t="e">
        <f t="shared" si="25"/>
        <v>#REF!</v>
      </c>
      <c r="J17" s="207" t="e">
        <f t="shared" si="25"/>
        <v>#REF!</v>
      </c>
      <c r="K17" s="207" t="e">
        <f t="shared" si="25"/>
        <v>#REF!</v>
      </c>
      <c r="L17" s="207" t="e">
        <f t="shared" si="25"/>
        <v>#REF!</v>
      </c>
      <c r="M17" s="207" t="e">
        <f t="shared" si="25"/>
        <v>#REF!</v>
      </c>
      <c r="N17" s="207" t="e">
        <f t="shared" si="25"/>
        <v>#REF!</v>
      </c>
      <c r="O17" s="207" t="e">
        <f>O14-O16</f>
        <v>#REF!</v>
      </c>
      <c r="P17" s="207" t="e">
        <f t="shared" si="25"/>
        <v>#REF!</v>
      </c>
      <c r="Q17" s="207" t="e">
        <f t="shared" si="25"/>
        <v>#REF!</v>
      </c>
      <c r="R17" s="207" t="e">
        <f t="shared" si="25"/>
        <v>#REF!</v>
      </c>
      <c r="S17" s="207" t="e">
        <f t="shared" si="25"/>
        <v>#REF!</v>
      </c>
      <c r="T17" s="207" t="e">
        <f t="shared" si="25"/>
        <v>#REF!</v>
      </c>
      <c r="U17" s="207" t="e">
        <f t="shared" si="25"/>
        <v>#REF!</v>
      </c>
      <c r="V17" s="207" t="e">
        <f t="shared" si="25"/>
        <v>#REF!</v>
      </c>
      <c r="W17" s="207" t="e">
        <f t="shared" si="25"/>
        <v>#REF!</v>
      </c>
      <c r="X17" s="207" t="e">
        <f t="shared" si="25"/>
        <v>#REF!</v>
      </c>
      <c r="Y17" s="207" t="e">
        <f t="shared" si="25"/>
        <v>#REF!</v>
      </c>
      <c r="Z17" s="207" t="e">
        <f t="shared" si="25"/>
        <v>#REF!</v>
      </c>
      <c r="AA17" s="207" t="e">
        <f t="shared" si="25"/>
        <v>#REF!</v>
      </c>
      <c r="AB17" s="207" t="e">
        <f t="shared" si="25"/>
        <v>#REF!</v>
      </c>
      <c r="AC17" s="207" t="e">
        <f t="shared" si="25"/>
        <v>#REF!</v>
      </c>
      <c r="AD17" s="207" t="e">
        <f t="shared" si="25"/>
        <v>#REF!</v>
      </c>
      <c r="AE17" s="207" t="e">
        <f t="shared" si="25"/>
        <v>#REF!</v>
      </c>
      <c r="AF17" s="207" t="e">
        <f t="shared" si="25"/>
        <v>#REF!</v>
      </c>
      <c r="AG17" s="207" t="e">
        <f t="shared" si="25"/>
        <v>#REF!</v>
      </c>
      <c r="AH17" s="207" t="e">
        <f t="shared" si="25"/>
        <v>#REF!</v>
      </c>
      <c r="AI17" s="207" t="e">
        <f t="shared" si="25"/>
        <v>#REF!</v>
      </c>
      <c r="AJ17" s="207" t="e">
        <f t="shared" si="25"/>
        <v>#REF!</v>
      </c>
      <c r="AK17" s="207" t="e">
        <f t="shared" si="25"/>
        <v>#REF!</v>
      </c>
      <c r="AL17" s="207" t="e">
        <f t="shared" si="25"/>
        <v>#REF!</v>
      </c>
      <c r="AM17" s="246" t="e">
        <f>AM14-AM16</f>
        <v>#REF!</v>
      </c>
      <c r="AN17" s="246" t="e">
        <f t="shared" si="25"/>
        <v>#REF!</v>
      </c>
      <c r="AO17" s="246" t="e">
        <f>AO14-AO16</f>
        <v>#REF!</v>
      </c>
      <c r="AP17" s="246" t="e">
        <f>SUM(AM17:AO17)</f>
        <v>#REF!</v>
      </c>
      <c r="AR17" s="198" t="s">
        <v>101</v>
      </c>
      <c r="AS17" s="197"/>
      <c r="AT17" s="207">
        <f ca="1">AT14-AT16</f>
        <v>0</v>
      </c>
      <c r="AU17" s="207">
        <f t="shared" ref="AU17:BE17" ca="1" si="26">AU14-AU16</f>
        <v>0</v>
      </c>
      <c r="AV17" s="207">
        <f t="shared" ca="1" si="26"/>
        <v>0</v>
      </c>
      <c r="AW17" s="207">
        <f t="shared" ca="1" si="26"/>
        <v>0</v>
      </c>
      <c r="AX17" s="207">
        <f t="shared" ca="1" si="26"/>
        <v>0</v>
      </c>
      <c r="AY17" s="207">
        <f t="shared" ca="1" si="26"/>
        <v>0</v>
      </c>
      <c r="AZ17" s="207">
        <f t="shared" ca="1" si="26"/>
        <v>0</v>
      </c>
      <c r="BA17" s="207">
        <f t="shared" ca="1" si="26"/>
        <v>0</v>
      </c>
      <c r="BB17" s="207">
        <f t="shared" ca="1" si="26"/>
        <v>0</v>
      </c>
      <c r="BC17" s="207">
        <f t="shared" ca="1" si="26"/>
        <v>0</v>
      </c>
      <c r="BD17" s="207">
        <f t="shared" ca="1" si="26"/>
        <v>0</v>
      </c>
      <c r="BE17" s="207">
        <f t="shared" ca="1" si="26"/>
        <v>0</v>
      </c>
      <c r="BF17" s="207">
        <f ca="1">BF14-BF16</f>
        <v>0</v>
      </c>
      <c r="BG17" s="207">
        <f t="shared" ref="BG17:CF17" ca="1" si="27">BG14-BG16</f>
        <v>0</v>
      </c>
      <c r="BH17" s="207">
        <f t="shared" ca="1" si="27"/>
        <v>0</v>
      </c>
      <c r="BI17" s="207">
        <f t="shared" ca="1" si="27"/>
        <v>0</v>
      </c>
      <c r="BJ17" s="207">
        <f t="shared" ca="1" si="27"/>
        <v>0</v>
      </c>
      <c r="BK17" s="207">
        <f t="shared" ca="1" si="27"/>
        <v>0</v>
      </c>
      <c r="BL17" s="207">
        <f t="shared" ca="1" si="27"/>
        <v>0</v>
      </c>
      <c r="BM17" s="207">
        <f t="shared" ca="1" si="27"/>
        <v>0</v>
      </c>
      <c r="BN17" s="207">
        <f t="shared" ca="1" si="27"/>
        <v>0</v>
      </c>
      <c r="BO17" s="207">
        <f t="shared" ca="1" si="27"/>
        <v>0</v>
      </c>
      <c r="BP17" s="207">
        <f t="shared" ca="1" si="27"/>
        <v>0</v>
      </c>
      <c r="BQ17" s="207">
        <f t="shared" ca="1" si="27"/>
        <v>0</v>
      </c>
      <c r="BR17" s="207">
        <f t="shared" ca="1" si="27"/>
        <v>0</v>
      </c>
      <c r="BS17" s="207">
        <f t="shared" ca="1" si="27"/>
        <v>0</v>
      </c>
      <c r="BT17" s="207">
        <f t="shared" ca="1" si="27"/>
        <v>0</v>
      </c>
      <c r="BU17" s="207">
        <f t="shared" ca="1" si="27"/>
        <v>0</v>
      </c>
      <c r="BV17" s="207">
        <f t="shared" ca="1" si="27"/>
        <v>0</v>
      </c>
      <c r="BW17" s="207">
        <f t="shared" ca="1" si="27"/>
        <v>0</v>
      </c>
      <c r="BX17" s="207">
        <f t="shared" ca="1" si="27"/>
        <v>0</v>
      </c>
      <c r="BY17" s="207">
        <f t="shared" ca="1" si="27"/>
        <v>0</v>
      </c>
      <c r="BZ17" s="207">
        <f t="shared" ca="1" si="27"/>
        <v>0</v>
      </c>
      <c r="CA17" s="207">
        <f t="shared" ca="1" si="27"/>
        <v>0</v>
      </c>
      <c r="CB17" s="207">
        <f t="shared" ca="1" si="27"/>
        <v>0</v>
      </c>
      <c r="CC17" s="207">
        <f t="shared" ca="1" si="27"/>
        <v>0</v>
      </c>
      <c r="CD17" s="246">
        <f t="shared" ca="1" si="27"/>
        <v>0</v>
      </c>
      <c r="CE17" s="246">
        <f t="shared" ca="1" si="27"/>
        <v>0</v>
      </c>
      <c r="CF17" s="246">
        <f t="shared" ca="1" si="27"/>
        <v>0</v>
      </c>
      <c r="CG17" s="246">
        <f ca="1">SUM(CD17:CF17)</f>
        <v>0</v>
      </c>
    </row>
    <row r="18" spans="1:85" s="198" customFormat="1">
      <c r="B18" s="19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46"/>
      <c r="AN18" s="246"/>
      <c r="AO18" s="246"/>
      <c r="AP18" s="246"/>
      <c r="AS18" s="19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46"/>
      <c r="CE18" s="246"/>
      <c r="CF18" s="246"/>
      <c r="CG18" s="246"/>
    </row>
    <row r="19" spans="1:85" s="198" customFormat="1">
      <c r="A19" s="198" t="s">
        <v>102</v>
      </c>
      <c r="B19" s="205"/>
      <c r="C19" s="207" t="e">
        <f>C17</f>
        <v>#REF!</v>
      </c>
      <c r="D19" s="207" t="e">
        <f t="shared" ref="D19:AO19" si="28">D17</f>
        <v>#REF!</v>
      </c>
      <c r="E19" s="207" t="e">
        <f t="shared" si="28"/>
        <v>#REF!</v>
      </c>
      <c r="F19" s="207" t="e">
        <f t="shared" si="28"/>
        <v>#REF!</v>
      </c>
      <c r="G19" s="207" t="e">
        <f t="shared" si="28"/>
        <v>#REF!</v>
      </c>
      <c r="H19" s="207" t="e">
        <f t="shared" si="28"/>
        <v>#REF!</v>
      </c>
      <c r="I19" s="207" t="e">
        <f t="shared" si="28"/>
        <v>#REF!</v>
      </c>
      <c r="J19" s="207" t="e">
        <f t="shared" si="28"/>
        <v>#REF!</v>
      </c>
      <c r="K19" s="207" t="e">
        <f t="shared" si="28"/>
        <v>#REF!</v>
      </c>
      <c r="L19" s="207" t="e">
        <f t="shared" si="28"/>
        <v>#REF!</v>
      </c>
      <c r="M19" s="207" t="e">
        <f t="shared" si="28"/>
        <v>#REF!</v>
      </c>
      <c r="N19" s="207" t="e">
        <f t="shared" si="28"/>
        <v>#REF!</v>
      </c>
      <c r="O19" s="207" t="e">
        <f t="shared" si="28"/>
        <v>#REF!</v>
      </c>
      <c r="P19" s="207" t="e">
        <f t="shared" si="28"/>
        <v>#REF!</v>
      </c>
      <c r="Q19" s="207" t="e">
        <f t="shared" si="28"/>
        <v>#REF!</v>
      </c>
      <c r="R19" s="207" t="e">
        <f t="shared" si="28"/>
        <v>#REF!</v>
      </c>
      <c r="S19" s="207" t="e">
        <f t="shared" si="28"/>
        <v>#REF!</v>
      </c>
      <c r="T19" s="207" t="e">
        <f t="shared" si="28"/>
        <v>#REF!</v>
      </c>
      <c r="U19" s="207" t="e">
        <f t="shared" si="28"/>
        <v>#REF!</v>
      </c>
      <c r="V19" s="207" t="e">
        <f t="shared" si="28"/>
        <v>#REF!</v>
      </c>
      <c r="W19" s="207" t="e">
        <f t="shared" si="28"/>
        <v>#REF!</v>
      </c>
      <c r="X19" s="207" t="e">
        <f t="shared" si="28"/>
        <v>#REF!</v>
      </c>
      <c r="Y19" s="207" t="e">
        <f t="shared" si="28"/>
        <v>#REF!</v>
      </c>
      <c r="Z19" s="207" t="e">
        <f t="shared" si="28"/>
        <v>#REF!</v>
      </c>
      <c r="AA19" s="207" t="e">
        <f t="shared" si="28"/>
        <v>#REF!</v>
      </c>
      <c r="AB19" s="207" t="e">
        <f t="shared" si="28"/>
        <v>#REF!</v>
      </c>
      <c r="AC19" s="207" t="e">
        <f t="shared" si="28"/>
        <v>#REF!</v>
      </c>
      <c r="AD19" s="207" t="e">
        <f t="shared" si="28"/>
        <v>#REF!</v>
      </c>
      <c r="AE19" s="207" t="e">
        <f t="shared" si="28"/>
        <v>#REF!</v>
      </c>
      <c r="AF19" s="207" t="e">
        <f t="shared" si="28"/>
        <v>#REF!</v>
      </c>
      <c r="AG19" s="207" t="e">
        <f t="shared" si="28"/>
        <v>#REF!</v>
      </c>
      <c r="AH19" s="207" t="e">
        <f t="shared" si="28"/>
        <v>#REF!</v>
      </c>
      <c r="AI19" s="207" t="e">
        <f t="shared" si="28"/>
        <v>#REF!</v>
      </c>
      <c r="AJ19" s="207" t="e">
        <f t="shared" si="28"/>
        <v>#REF!</v>
      </c>
      <c r="AK19" s="207" t="e">
        <f t="shared" si="28"/>
        <v>#REF!</v>
      </c>
      <c r="AL19" s="207" t="e">
        <f t="shared" si="28"/>
        <v>#REF!</v>
      </c>
      <c r="AM19" s="246" t="e">
        <f>AM17</f>
        <v>#REF!</v>
      </c>
      <c r="AN19" s="246" t="e">
        <f t="shared" si="28"/>
        <v>#REF!</v>
      </c>
      <c r="AO19" s="246" t="e">
        <f t="shared" si="28"/>
        <v>#REF!</v>
      </c>
      <c r="AP19" s="246" t="e">
        <f>SUM(AM19:AO19)</f>
        <v>#REF!</v>
      </c>
      <c r="AR19" s="198" t="s">
        <v>102</v>
      </c>
      <c r="AS19" s="205"/>
      <c r="AT19" s="207">
        <f ca="1">AT17</f>
        <v>0</v>
      </c>
      <c r="AU19" s="207">
        <f t="shared" ref="AU19:CC19" ca="1" si="29">AU17</f>
        <v>0</v>
      </c>
      <c r="AV19" s="207">
        <f t="shared" ca="1" si="29"/>
        <v>0</v>
      </c>
      <c r="AW19" s="207">
        <f t="shared" ca="1" si="29"/>
        <v>0</v>
      </c>
      <c r="AX19" s="207">
        <f t="shared" ca="1" si="29"/>
        <v>0</v>
      </c>
      <c r="AY19" s="207">
        <f t="shared" ca="1" si="29"/>
        <v>0</v>
      </c>
      <c r="AZ19" s="207">
        <f t="shared" ca="1" si="29"/>
        <v>0</v>
      </c>
      <c r="BA19" s="207">
        <f t="shared" ca="1" si="29"/>
        <v>0</v>
      </c>
      <c r="BB19" s="207">
        <f t="shared" ca="1" si="29"/>
        <v>0</v>
      </c>
      <c r="BC19" s="207">
        <f t="shared" ca="1" si="29"/>
        <v>0</v>
      </c>
      <c r="BD19" s="207">
        <f t="shared" ca="1" si="29"/>
        <v>0</v>
      </c>
      <c r="BE19" s="207">
        <f t="shared" ca="1" si="29"/>
        <v>0</v>
      </c>
      <c r="BF19" s="207">
        <f t="shared" ca="1" si="29"/>
        <v>0</v>
      </c>
      <c r="BG19" s="207">
        <f t="shared" ca="1" si="29"/>
        <v>0</v>
      </c>
      <c r="BH19" s="207">
        <f t="shared" ca="1" si="29"/>
        <v>0</v>
      </c>
      <c r="BI19" s="207">
        <f t="shared" ca="1" si="29"/>
        <v>0</v>
      </c>
      <c r="BJ19" s="207">
        <f t="shared" ca="1" si="29"/>
        <v>0</v>
      </c>
      <c r="BK19" s="207">
        <f t="shared" ca="1" si="29"/>
        <v>0</v>
      </c>
      <c r="BL19" s="207">
        <f t="shared" ca="1" si="29"/>
        <v>0</v>
      </c>
      <c r="BM19" s="207">
        <f t="shared" ca="1" si="29"/>
        <v>0</v>
      </c>
      <c r="BN19" s="207">
        <f t="shared" ca="1" si="29"/>
        <v>0</v>
      </c>
      <c r="BO19" s="207">
        <f t="shared" ca="1" si="29"/>
        <v>0</v>
      </c>
      <c r="BP19" s="207">
        <f t="shared" ca="1" si="29"/>
        <v>0</v>
      </c>
      <c r="BQ19" s="207">
        <f t="shared" ca="1" si="29"/>
        <v>0</v>
      </c>
      <c r="BR19" s="207">
        <f t="shared" ca="1" si="29"/>
        <v>0</v>
      </c>
      <c r="BS19" s="207">
        <f t="shared" ca="1" si="29"/>
        <v>0</v>
      </c>
      <c r="BT19" s="207">
        <f t="shared" ca="1" si="29"/>
        <v>0</v>
      </c>
      <c r="BU19" s="207">
        <f t="shared" ca="1" si="29"/>
        <v>0</v>
      </c>
      <c r="BV19" s="207">
        <f t="shared" ca="1" si="29"/>
        <v>0</v>
      </c>
      <c r="BW19" s="207">
        <f t="shared" ca="1" si="29"/>
        <v>0</v>
      </c>
      <c r="BX19" s="207">
        <f t="shared" ca="1" si="29"/>
        <v>0</v>
      </c>
      <c r="BY19" s="207">
        <f t="shared" ca="1" si="29"/>
        <v>0</v>
      </c>
      <c r="BZ19" s="207">
        <f t="shared" ca="1" si="29"/>
        <v>0</v>
      </c>
      <c r="CA19" s="207">
        <f t="shared" ca="1" si="29"/>
        <v>0</v>
      </c>
      <c r="CB19" s="207">
        <f t="shared" ca="1" si="29"/>
        <v>0</v>
      </c>
      <c r="CC19" s="207">
        <f t="shared" ca="1" si="29"/>
        <v>0</v>
      </c>
      <c r="CD19" s="246">
        <f ca="1">CD17</f>
        <v>0</v>
      </c>
      <c r="CE19" s="246">
        <f t="shared" ref="CE19:CF19" ca="1" si="30">CE17</f>
        <v>0</v>
      </c>
      <c r="CF19" s="246">
        <f t="shared" ca="1" si="30"/>
        <v>0</v>
      </c>
      <c r="CG19" s="246">
        <f ca="1">SUM(CD19:CF19)</f>
        <v>0</v>
      </c>
    </row>
    <row r="20" spans="1:85" s="198" customFormat="1">
      <c r="A20" s="198" t="s">
        <v>103</v>
      </c>
      <c r="B20" s="205"/>
      <c r="C20" s="212">
        <f>-269315779.67*0.5</f>
        <v>-134657889.83500001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47">
        <f>SUMIF($C$2:$AL$2,AM$2,$C20:$AL20)</f>
        <v>-134657889.83500001</v>
      </c>
      <c r="AN20" s="247">
        <f>SUMIF($C$2:$AL$2,AN$2,$C20:$AL20)</f>
        <v>0</v>
      </c>
      <c r="AO20" s="247">
        <f t="shared" ref="AO20" si="31">SUMIF($C$2:$AL$2,AO$2,$C20:$AL20)</f>
        <v>0</v>
      </c>
      <c r="AP20" s="246">
        <f>SUM(AM20:AO20)</f>
        <v>-134657889.83500001</v>
      </c>
      <c r="AR20" s="198" t="s">
        <v>103</v>
      </c>
      <c r="AS20" s="205"/>
      <c r="AT20" s="552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47">
        <f>SUMIF($AT$2:$CC$2,CD$2,$AT20:$CC20)</f>
        <v>0</v>
      </c>
      <c r="CE20" s="247">
        <f t="shared" ref="CE20:CF20" si="32">SUMIF($AT$2:$CC$2,CE$2,$AT20:$CC20)</f>
        <v>0</v>
      </c>
      <c r="CF20" s="247">
        <f t="shared" si="32"/>
        <v>0</v>
      </c>
      <c r="CG20" s="246">
        <f>SUM(CD20:CF20)</f>
        <v>0</v>
      </c>
    </row>
    <row r="21" spans="1:85" s="198" customFormat="1">
      <c r="A21" s="198" t="s">
        <v>104</v>
      </c>
      <c r="B21" s="205"/>
      <c r="C21" s="207" t="e">
        <f>C19+C20</f>
        <v>#REF!</v>
      </c>
      <c r="D21" s="207" t="e">
        <f t="shared" ref="D21:AL21" si="33">D19+D20</f>
        <v>#REF!</v>
      </c>
      <c r="E21" s="207" t="e">
        <f t="shared" si="33"/>
        <v>#REF!</v>
      </c>
      <c r="F21" s="207" t="e">
        <f t="shared" si="33"/>
        <v>#REF!</v>
      </c>
      <c r="G21" s="207" t="e">
        <f t="shared" si="33"/>
        <v>#REF!</v>
      </c>
      <c r="H21" s="207" t="e">
        <f t="shared" si="33"/>
        <v>#REF!</v>
      </c>
      <c r="I21" s="207" t="e">
        <f t="shared" si="33"/>
        <v>#REF!</v>
      </c>
      <c r="J21" s="207" t="e">
        <f t="shared" si="33"/>
        <v>#REF!</v>
      </c>
      <c r="K21" s="207" t="e">
        <f t="shared" si="33"/>
        <v>#REF!</v>
      </c>
      <c r="L21" s="207" t="e">
        <f t="shared" si="33"/>
        <v>#REF!</v>
      </c>
      <c r="M21" s="207" t="e">
        <f t="shared" si="33"/>
        <v>#REF!</v>
      </c>
      <c r="N21" s="207" t="e">
        <f t="shared" si="33"/>
        <v>#REF!</v>
      </c>
      <c r="O21" s="207" t="e">
        <f t="shared" si="33"/>
        <v>#REF!</v>
      </c>
      <c r="P21" s="207" t="e">
        <f t="shared" si="33"/>
        <v>#REF!</v>
      </c>
      <c r="Q21" s="207" t="e">
        <f t="shared" si="33"/>
        <v>#REF!</v>
      </c>
      <c r="R21" s="207" t="e">
        <f t="shared" si="33"/>
        <v>#REF!</v>
      </c>
      <c r="S21" s="207" t="e">
        <f t="shared" si="33"/>
        <v>#REF!</v>
      </c>
      <c r="T21" s="207" t="e">
        <f t="shared" si="33"/>
        <v>#REF!</v>
      </c>
      <c r="U21" s="207" t="e">
        <f t="shared" si="33"/>
        <v>#REF!</v>
      </c>
      <c r="V21" s="207" t="e">
        <f t="shared" si="33"/>
        <v>#REF!</v>
      </c>
      <c r="W21" s="207" t="e">
        <f t="shared" si="33"/>
        <v>#REF!</v>
      </c>
      <c r="X21" s="207" t="e">
        <f t="shared" si="33"/>
        <v>#REF!</v>
      </c>
      <c r="Y21" s="207" t="e">
        <f t="shared" si="33"/>
        <v>#REF!</v>
      </c>
      <c r="Z21" s="207" t="e">
        <f t="shared" si="33"/>
        <v>#REF!</v>
      </c>
      <c r="AA21" s="207" t="e">
        <f t="shared" si="33"/>
        <v>#REF!</v>
      </c>
      <c r="AB21" s="207" t="e">
        <f t="shared" si="33"/>
        <v>#REF!</v>
      </c>
      <c r="AC21" s="207" t="e">
        <f t="shared" si="33"/>
        <v>#REF!</v>
      </c>
      <c r="AD21" s="207" t="e">
        <f t="shared" si="33"/>
        <v>#REF!</v>
      </c>
      <c r="AE21" s="207" t="e">
        <f t="shared" si="33"/>
        <v>#REF!</v>
      </c>
      <c r="AF21" s="207" t="e">
        <f t="shared" si="33"/>
        <v>#REF!</v>
      </c>
      <c r="AG21" s="207" t="e">
        <f t="shared" si="33"/>
        <v>#REF!</v>
      </c>
      <c r="AH21" s="207" t="e">
        <f t="shared" si="33"/>
        <v>#REF!</v>
      </c>
      <c r="AI21" s="207" t="e">
        <f t="shared" si="33"/>
        <v>#REF!</v>
      </c>
      <c r="AJ21" s="207" t="e">
        <f t="shared" si="33"/>
        <v>#REF!</v>
      </c>
      <c r="AK21" s="207" t="e">
        <f t="shared" si="33"/>
        <v>#REF!</v>
      </c>
      <c r="AL21" s="207" t="e">
        <f t="shared" si="33"/>
        <v>#REF!</v>
      </c>
      <c r="AM21" s="246" t="e">
        <f>AM19+AM20</f>
        <v>#REF!</v>
      </c>
      <c r="AN21" s="246" t="e">
        <f>AN19+AN20</f>
        <v>#REF!</v>
      </c>
      <c r="AO21" s="246" t="e">
        <f>AO19+AO20</f>
        <v>#REF!</v>
      </c>
      <c r="AP21" s="246"/>
      <c r="AR21" s="198" t="s">
        <v>104</v>
      </c>
      <c r="AS21" s="205"/>
      <c r="AT21" s="207">
        <f ca="1">AT19+AT20</f>
        <v>0</v>
      </c>
      <c r="AU21" s="207">
        <f t="shared" ref="AU21:CC21" ca="1" si="34">AU19+AU20</f>
        <v>0</v>
      </c>
      <c r="AV21" s="207">
        <f t="shared" ca="1" si="34"/>
        <v>0</v>
      </c>
      <c r="AW21" s="207">
        <f t="shared" ca="1" si="34"/>
        <v>0</v>
      </c>
      <c r="AX21" s="207">
        <f t="shared" ca="1" si="34"/>
        <v>0</v>
      </c>
      <c r="AY21" s="207">
        <f t="shared" ca="1" si="34"/>
        <v>0</v>
      </c>
      <c r="AZ21" s="207">
        <f t="shared" ca="1" si="34"/>
        <v>0</v>
      </c>
      <c r="BA21" s="207">
        <f t="shared" ca="1" si="34"/>
        <v>0</v>
      </c>
      <c r="BB21" s="207">
        <f t="shared" ca="1" si="34"/>
        <v>0</v>
      </c>
      <c r="BC21" s="207">
        <f t="shared" ca="1" si="34"/>
        <v>0</v>
      </c>
      <c r="BD21" s="207">
        <f t="shared" ca="1" si="34"/>
        <v>0</v>
      </c>
      <c r="BE21" s="207">
        <f t="shared" ca="1" si="34"/>
        <v>0</v>
      </c>
      <c r="BF21" s="207">
        <f t="shared" ca="1" si="34"/>
        <v>0</v>
      </c>
      <c r="BG21" s="207">
        <f t="shared" ca="1" si="34"/>
        <v>0</v>
      </c>
      <c r="BH21" s="207">
        <f t="shared" ca="1" si="34"/>
        <v>0</v>
      </c>
      <c r="BI21" s="207">
        <f t="shared" ca="1" si="34"/>
        <v>0</v>
      </c>
      <c r="BJ21" s="207">
        <f t="shared" ca="1" si="34"/>
        <v>0</v>
      </c>
      <c r="BK21" s="207">
        <f t="shared" ca="1" si="34"/>
        <v>0</v>
      </c>
      <c r="BL21" s="207">
        <f t="shared" ca="1" si="34"/>
        <v>0</v>
      </c>
      <c r="BM21" s="207">
        <f t="shared" ca="1" si="34"/>
        <v>0</v>
      </c>
      <c r="BN21" s="207">
        <f t="shared" ca="1" si="34"/>
        <v>0</v>
      </c>
      <c r="BO21" s="207">
        <f t="shared" ca="1" si="34"/>
        <v>0</v>
      </c>
      <c r="BP21" s="207">
        <f t="shared" ca="1" si="34"/>
        <v>0</v>
      </c>
      <c r="BQ21" s="207">
        <f t="shared" ca="1" si="34"/>
        <v>0</v>
      </c>
      <c r="BR21" s="207">
        <f t="shared" ca="1" si="34"/>
        <v>0</v>
      </c>
      <c r="BS21" s="207">
        <f t="shared" ca="1" si="34"/>
        <v>0</v>
      </c>
      <c r="BT21" s="207">
        <f t="shared" ca="1" si="34"/>
        <v>0</v>
      </c>
      <c r="BU21" s="207">
        <f t="shared" ca="1" si="34"/>
        <v>0</v>
      </c>
      <c r="BV21" s="207">
        <f t="shared" ca="1" si="34"/>
        <v>0</v>
      </c>
      <c r="BW21" s="207">
        <f t="shared" ca="1" si="34"/>
        <v>0</v>
      </c>
      <c r="BX21" s="207">
        <f t="shared" ca="1" si="34"/>
        <v>0</v>
      </c>
      <c r="BY21" s="207">
        <f t="shared" ca="1" si="34"/>
        <v>0</v>
      </c>
      <c r="BZ21" s="207">
        <f t="shared" ca="1" si="34"/>
        <v>0</v>
      </c>
      <c r="CA21" s="207">
        <f t="shared" ca="1" si="34"/>
        <v>0</v>
      </c>
      <c r="CB21" s="207">
        <f t="shared" ca="1" si="34"/>
        <v>0</v>
      </c>
      <c r="CC21" s="207">
        <f t="shared" ca="1" si="34"/>
        <v>0</v>
      </c>
      <c r="CD21" s="246">
        <f ca="1">CD19+CD20</f>
        <v>0</v>
      </c>
      <c r="CE21" s="246">
        <f ca="1">CE19+CE20</f>
        <v>0</v>
      </c>
      <c r="CF21" s="246">
        <f ca="1">CF19+CF20</f>
        <v>0</v>
      </c>
      <c r="CG21" s="246">
        <f ca="1">SUM(CD21:CF21)</f>
        <v>0</v>
      </c>
    </row>
    <row r="22" spans="1:85" s="198" customFormat="1">
      <c r="A22" s="213" t="s">
        <v>105</v>
      </c>
      <c r="B22" s="214" t="e">
        <f>AP22</f>
        <v>#REF!</v>
      </c>
      <c r="C22" s="215" t="e">
        <f>+C21</f>
        <v>#REF!</v>
      </c>
      <c r="D22" s="215" t="e">
        <f>C22+D21</f>
        <v>#REF!</v>
      </c>
      <c r="E22" s="215" t="e">
        <f t="shared" ref="E22:AK22" si="35">D22+E21</f>
        <v>#REF!</v>
      </c>
      <c r="F22" s="215" t="e">
        <f t="shared" si="35"/>
        <v>#REF!</v>
      </c>
      <c r="G22" s="215" t="e">
        <f t="shared" si="35"/>
        <v>#REF!</v>
      </c>
      <c r="H22" s="215" t="e">
        <f t="shared" si="35"/>
        <v>#REF!</v>
      </c>
      <c r="I22" s="215" t="e">
        <f t="shared" si="35"/>
        <v>#REF!</v>
      </c>
      <c r="J22" s="215" t="e">
        <f t="shared" si="35"/>
        <v>#REF!</v>
      </c>
      <c r="K22" s="215" t="e">
        <f t="shared" si="35"/>
        <v>#REF!</v>
      </c>
      <c r="L22" s="215" t="e">
        <f t="shared" si="35"/>
        <v>#REF!</v>
      </c>
      <c r="M22" s="215" t="e">
        <f t="shared" si="35"/>
        <v>#REF!</v>
      </c>
      <c r="N22" s="215" t="e">
        <f t="shared" si="35"/>
        <v>#REF!</v>
      </c>
      <c r="O22" s="215" t="e">
        <f t="shared" si="35"/>
        <v>#REF!</v>
      </c>
      <c r="P22" s="215" t="e">
        <f t="shared" si="35"/>
        <v>#REF!</v>
      </c>
      <c r="Q22" s="215" t="e">
        <f t="shared" si="35"/>
        <v>#REF!</v>
      </c>
      <c r="R22" s="215" t="e">
        <f t="shared" si="35"/>
        <v>#REF!</v>
      </c>
      <c r="S22" s="215" t="e">
        <f t="shared" si="35"/>
        <v>#REF!</v>
      </c>
      <c r="T22" s="215" t="e">
        <f t="shared" si="35"/>
        <v>#REF!</v>
      </c>
      <c r="U22" s="215" t="e">
        <f>T22+U21</f>
        <v>#REF!</v>
      </c>
      <c r="V22" s="215" t="e">
        <f t="shared" si="35"/>
        <v>#REF!</v>
      </c>
      <c r="W22" s="215" t="e">
        <f>V22+W21</f>
        <v>#REF!</v>
      </c>
      <c r="X22" s="215" t="e">
        <f t="shared" si="35"/>
        <v>#REF!</v>
      </c>
      <c r="Y22" s="215" t="e">
        <f>X22+Y21</f>
        <v>#REF!</v>
      </c>
      <c r="Z22" s="215" t="e">
        <f t="shared" si="35"/>
        <v>#REF!</v>
      </c>
      <c r="AA22" s="215" t="e">
        <f t="shared" si="35"/>
        <v>#REF!</v>
      </c>
      <c r="AB22" s="215" t="e">
        <f t="shared" si="35"/>
        <v>#REF!</v>
      </c>
      <c r="AC22" s="215" t="e">
        <f t="shared" si="35"/>
        <v>#REF!</v>
      </c>
      <c r="AD22" s="215" t="e">
        <f t="shared" si="35"/>
        <v>#REF!</v>
      </c>
      <c r="AE22" s="215" t="e">
        <f t="shared" si="35"/>
        <v>#REF!</v>
      </c>
      <c r="AF22" s="215" t="e">
        <f t="shared" si="35"/>
        <v>#REF!</v>
      </c>
      <c r="AG22" s="215" t="e">
        <f t="shared" si="35"/>
        <v>#REF!</v>
      </c>
      <c r="AH22" s="215" t="e">
        <f>AG22+AH21</f>
        <v>#REF!</v>
      </c>
      <c r="AI22" s="215" t="e">
        <f t="shared" si="35"/>
        <v>#REF!</v>
      </c>
      <c r="AJ22" s="215" t="e">
        <f t="shared" si="35"/>
        <v>#REF!</v>
      </c>
      <c r="AK22" s="215" t="e">
        <f t="shared" si="35"/>
        <v>#REF!</v>
      </c>
      <c r="AL22" s="215" t="e">
        <f>AK22+AL21</f>
        <v>#REF!</v>
      </c>
      <c r="AM22" s="248" t="e">
        <f>N22</f>
        <v>#REF!</v>
      </c>
      <c r="AN22" s="248" t="e">
        <f>Z22</f>
        <v>#REF!</v>
      </c>
      <c r="AO22" s="248" t="e">
        <f>AL22</f>
        <v>#REF!</v>
      </c>
      <c r="AP22" s="246" t="e">
        <f>AO22</f>
        <v>#REF!</v>
      </c>
      <c r="AR22" s="213" t="s">
        <v>105</v>
      </c>
      <c r="AS22" s="214">
        <f ca="1">CG22</f>
        <v>0</v>
      </c>
      <c r="AT22" s="215">
        <f ca="1">+AT21</f>
        <v>0</v>
      </c>
      <c r="AU22" s="215">
        <f ca="1">AT22+AU21</f>
        <v>0</v>
      </c>
      <c r="AV22" s="215">
        <f t="shared" ref="AV22" ca="1" si="36">AU22+AV21</f>
        <v>0</v>
      </c>
      <c r="AW22" s="215">
        <f t="shared" ref="AW22" ca="1" si="37">AV22+AW21</f>
        <v>0</v>
      </c>
      <c r="AX22" s="215">
        <f t="shared" ref="AX22" ca="1" si="38">AW22+AX21</f>
        <v>0</v>
      </c>
      <c r="AY22" s="215">
        <f t="shared" ref="AY22" ca="1" si="39">AX22+AY21</f>
        <v>0</v>
      </c>
      <c r="AZ22" s="215">
        <f t="shared" ref="AZ22" ca="1" si="40">AY22+AZ21</f>
        <v>0</v>
      </c>
      <c r="BA22" s="215">
        <f t="shared" ref="BA22" ca="1" si="41">AZ22+BA21</f>
        <v>0</v>
      </c>
      <c r="BB22" s="215">
        <f t="shared" ref="BB22" ca="1" si="42">BA22+BB21</f>
        <v>0</v>
      </c>
      <c r="BC22" s="215">
        <f t="shared" ref="BC22" ca="1" si="43">BB22+BC21</f>
        <v>0</v>
      </c>
      <c r="BD22" s="215">
        <f t="shared" ref="BD22" ca="1" si="44">BC22+BD21</f>
        <v>0</v>
      </c>
      <c r="BE22" s="215">
        <f t="shared" ref="BE22" ca="1" si="45">BD22+BE21</f>
        <v>0</v>
      </c>
      <c r="BF22" s="215">
        <f t="shared" ref="BF22" ca="1" si="46">BE22+BF21</f>
        <v>0</v>
      </c>
      <c r="BG22" s="215">
        <f t="shared" ref="BG22" ca="1" si="47">BF22+BG21</f>
        <v>0</v>
      </c>
      <c r="BH22" s="215">
        <f t="shared" ref="BH22" ca="1" si="48">BG22+BH21</f>
        <v>0</v>
      </c>
      <c r="BI22" s="215">
        <f t="shared" ref="BI22" ca="1" si="49">BH22+BI21</f>
        <v>0</v>
      </c>
      <c r="BJ22" s="215">
        <f t="shared" ref="BJ22" ca="1" si="50">BI22+BJ21</f>
        <v>0</v>
      </c>
      <c r="BK22" s="215">
        <f t="shared" ref="BK22" ca="1" si="51">BJ22+BK21</f>
        <v>0</v>
      </c>
      <c r="BL22" s="215">
        <f ca="1">BK22+BL21</f>
        <v>0</v>
      </c>
      <c r="BM22" s="215">
        <f t="shared" ref="BM22" ca="1" si="52">BL22+BM21</f>
        <v>0</v>
      </c>
      <c r="BN22" s="215">
        <f t="shared" ref="BN22" ca="1" si="53">BM22+BN21</f>
        <v>0</v>
      </c>
      <c r="BO22" s="215">
        <f t="shared" ref="BO22" ca="1" si="54">BN22+BO21</f>
        <v>0</v>
      </c>
      <c r="BP22" s="215">
        <f ca="1">BO22+BP21</f>
        <v>0</v>
      </c>
      <c r="BQ22" s="215">
        <f ca="1">BP22+BQ21</f>
        <v>0</v>
      </c>
      <c r="BR22" s="215">
        <f t="shared" ref="BR22" ca="1" si="55">BQ22+BR21</f>
        <v>0</v>
      </c>
      <c r="BS22" s="215">
        <f t="shared" ref="BS22" ca="1" si="56">BR22+BS21</f>
        <v>0</v>
      </c>
      <c r="BT22" s="215">
        <f t="shared" ref="BT22" ca="1" si="57">BS22+BT21</f>
        <v>0</v>
      </c>
      <c r="BU22" s="215">
        <f t="shared" ref="BU22" ca="1" si="58">BT22+BU21</f>
        <v>0</v>
      </c>
      <c r="BV22" s="215">
        <f t="shared" ref="BV22" ca="1" si="59">BU22+BV21</f>
        <v>0</v>
      </c>
      <c r="BW22" s="215">
        <f t="shared" ref="BW22" ca="1" si="60">BV22+BW21</f>
        <v>0</v>
      </c>
      <c r="BX22" s="215">
        <f t="shared" ref="BX22" ca="1" si="61">BW22+BX21</f>
        <v>0</v>
      </c>
      <c r="BY22" s="215">
        <f t="shared" ref="BY22" ca="1" si="62">BX22+BY21</f>
        <v>0</v>
      </c>
      <c r="BZ22" s="215">
        <f t="shared" ref="BZ22" ca="1" si="63">BY22+BZ21</f>
        <v>0</v>
      </c>
      <c r="CA22" s="215">
        <f t="shared" ref="CA22" ca="1" si="64">BZ22+CA21</f>
        <v>0</v>
      </c>
      <c r="CB22" s="215">
        <f t="shared" ref="CB22" ca="1" si="65">CA22+CB21</f>
        <v>0</v>
      </c>
      <c r="CC22" s="215">
        <f ca="1">CB22+CC21</f>
        <v>0</v>
      </c>
      <c r="CD22" s="248">
        <f ca="1">BE22</f>
        <v>0</v>
      </c>
      <c r="CE22" s="248">
        <f ca="1">CD22+CE21</f>
        <v>0</v>
      </c>
      <c r="CF22" s="248">
        <f ca="1">CE22+CF21</f>
        <v>0</v>
      </c>
      <c r="CG22" s="246">
        <f ca="1">SUM(CD22:CF22)</f>
        <v>0</v>
      </c>
    </row>
    <row r="23" spans="1:85" s="198" customFormat="1">
      <c r="B23" s="205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44"/>
      <c r="AN23" s="244"/>
      <c r="AO23" s="244"/>
      <c r="AP23" s="245"/>
      <c r="AS23" s="205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44"/>
      <c r="CE23" s="244"/>
      <c r="CF23" s="244"/>
      <c r="CG23" s="245"/>
    </row>
    <row r="24" spans="1:85" s="198" customFormat="1">
      <c r="A24" s="198" t="s">
        <v>51</v>
      </c>
      <c r="B24" s="205" t="e">
        <f>NPV(B4,AM21:AO21)</f>
        <v>#REF!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46"/>
      <c r="AN24" s="246"/>
      <c r="AO24" s="246"/>
      <c r="AP24" s="246"/>
      <c r="AR24" s="198" t="s">
        <v>51</v>
      </c>
      <c r="AS24" s="205">
        <f ca="1">NPV(AS4,CD21:CF21)</f>
        <v>0</v>
      </c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46"/>
      <c r="CE24" s="246"/>
      <c r="CF24" s="246"/>
      <c r="CG24" s="246"/>
    </row>
    <row r="25" spans="1:85" s="198" customFormat="1">
      <c r="A25" s="198" t="s">
        <v>52</v>
      </c>
      <c r="B25" s="216" t="e">
        <f>IRR(AM21:AO21,B4)</f>
        <v>#VALUE!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44"/>
      <c r="AN25" s="244"/>
      <c r="AO25" s="244"/>
      <c r="AP25" s="245"/>
      <c r="AR25" s="198" t="s">
        <v>52</v>
      </c>
      <c r="AS25" s="216" t="e">
        <f ca="1">IRR(CD21:CF21,AS4)</f>
        <v>#NUM!</v>
      </c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44"/>
      <c r="CE25" s="244"/>
      <c r="CF25" s="244"/>
      <c r="CG25" s="245"/>
    </row>
    <row r="26" spans="1:85" s="198" customFormat="1">
      <c r="A26" s="198" t="s">
        <v>48</v>
      </c>
      <c r="B26" s="217">
        <f>IFERROR(COUNTIF(AL22:AN22,"&lt;0")*12-(AN22/(AN19/12)),0)</f>
        <v>0</v>
      </c>
      <c r="C26" s="211" t="e">
        <f>IF(SUM($C21:C21)&gt;0,C1,0)</f>
        <v>#REF!</v>
      </c>
      <c r="D26" s="211" t="e">
        <f>IF(SUM($C21:D21)&gt;0,D1,0)</f>
        <v>#REF!</v>
      </c>
      <c r="E26" s="211" t="e">
        <f>IF(SUM($C21:E21)&gt;0,E1,0)</f>
        <v>#REF!</v>
      </c>
      <c r="F26" s="211" t="e">
        <f>IF(SUM($C21:F21)&gt;0,F1,0)</f>
        <v>#REF!</v>
      </c>
      <c r="G26" s="211" t="e">
        <f>IF(SUM($C21:G21)&gt;0,G1,0)</f>
        <v>#REF!</v>
      </c>
      <c r="H26" s="211" t="e">
        <f>IF(SUM($C21:H21)&gt;0,H1,0)</f>
        <v>#REF!</v>
      </c>
      <c r="I26" s="211" t="e">
        <f>IF(SUM($C21:I21)&gt;0,I1,0)</f>
        <v>#REF!</v>
      </c>
      <c r="J26" s="211" t="e">
        <f>IF(SUM($C21:J21)&gt;0,J1,0)</f>
        <v>#REF!</v>
      </c>
      <c r="K26" s="211" t="e">
        <f>IF(SUM($C21:K21)&gt;0,K1,0)</f>
        <v>#REF!</v>
      </c>
      <c r="L26" s="211" t="e">
        <f>IF(SUM($C21:L21)&gt;0,L1,0)</f>
        <v>#REF!</v>
      </c>
      <c r="M26" s="211" t="e">
        <f>IF(SUM($C21:M21)&gt;0,M1,0)</f>
        <v>#REF!</v>
      </c>
      <c r="N26" s="211" t="e">
        <f>IF(SUM($C21:N21)&gt;0,N1,0)</f>
        <v>#REF!</v>
      </c>
      <c r="O26" s="211" t="e">
        <f>IF(SUM($C21:O21)&gt;0,O1,0)</f>
        <v>#REF!</v>
      </c>
      <c r="P26" s="211" t="e">
        <f>IF(SUM($C21:P21)&gt;0,P1,0)</f>
        <v>#REF!</v>
      </c>
      <c r="Q26" s="211" t="e">
        <f>IF(SUM($C21:Q21)&gt;0,Q1,0)</f>
        <v>#REF!</v>
      </c>
      <c r="R26" s="211" t="e">
        <f>IF(SUM($C21:R21)&gt;0,R1,0)</f>
        <v>#REF!</v>
      </c>
      <c r="S26" s="211" t="e">
        <f>IF(SUM($C21:S21)&gt;0,S1,0)</f>
        <v>#REF!</v>
      </c>
      <c r="T26" s="211" t="e">
        <f>IF(SUM($C21:T21)&gt;0,T1,0)</f>
        <v>#REF!</v>
      </c>
      <c r="U26" s="211" t="e">
        <f>IF(SUM($C21:U21)&gt;0,U1,0)</f>
        <v>#REF!</v>
      </c>
      <c r="V26" s="211" t="e">
        <f>IF(SUM($C21:V21)&gt;0,V1,0)</f>
        <v>#REF!</v>
      </c>
      <c r="W26" s="211" t="e">
        <f>IF(SUM($C21:W21)&gt;0,W1,0)</f>
        <v>#REF!</v>
      </c>
      <c r="X26" s="211" t="e">
        <f>IF(SUM($C21:X21)&gt;0,X1,0)</f>
        <v>#REF!</v>
      </c>
      <c r="Y26" s="211" t="e">
        <f>IF(SUM($C21:Y21)&gt;0,Y1,0)</f>
        <v>#REF!</v>
      </c>
      <c r="Z26" s="211" t="e">
        <f>IF(SUM($C21:Z21)&gt;0,Z1,0)</f>
        <v>#REF!</v>
      </c>
      <c r="AA26" s="211" t="e">
        <f>IF(SUM($C21:AA21)&gt;0,AA1,0)</f>
        <v>#REF!</v>
      </c>
      <c r="AB26" s="211" t="e">
        <f>IF(SUM($C21:AB21)&gt;0,AB1,0)</f>
        <v>#REF!</v>
      </c>
      <c r="AC26" s="211" t="e">
        <f>IF(SUM($C21:AC21)&gt;0,AC1,0)</f>
        <v>#REF!</v>
      </c>
      <c r="AD26" s="211" t="e">
        <f>IF(SUM($C21:AD21)&gt;0,AD1,0)</f>
        <v>#REF!</v>
      </c>
      <c r="AE26" s="211" t="e">
        <f>IF(SUM($C21:AE21)&gt;0,AE1,0)</f>
        <v>#REF!</v>
      </c>
      <c r="AF26" s="211" t="e">
        <f>IF(SUM($C21:AF21)&gt;0,AF1,0)</f>
        <v>#REF!</v>
      </c>
      <c r="AG26" s="211" t="e">
        <f>IF(SUM($C21:AG21)&gt;0,AG1,0)</f>
        <v>#REF!</v>
      </c>
      <c r="AH26" s="211" t="e">
        <f>IF(SUM($C21:AH21)&gt;0,AH1,0)</f>
        <v>#REF!</v>
      </c>
      <c r="AI26" s="211" t="e">
        <f>IF(SUM($C21:AI21)&gt;0,AI1,0)</f>
        <v>#REF!</v>
      </c>
      <c r="AJ26" s="211" t="e">
        <f>IF(SUM($C21:AJ21)&gt;0,AJ1,0)</f>
        <v>#REF!</v>
      </c>
      <c r="AK26" s="211" t="e">
        <f>IF(SUM($C21:AK21)&gt;0,AK1,0)</f>
        <v>#REF!</v>
      </c>
      <c r="AL26" s="211" t="e">
        <f>IF(SUM($C21:AL21)&gt;0,AL1,0)</f>
        <v>#REF!</v>
      </c>
      <c r="AM26" s="244"/>
      <c r="AN26" s="244"/>
      <c r="AO26" s="244"/>
      <c r="AP26" s="245"/>
      <c r="AR26" s="198" t="s">
        <v>48</v>
      </c>
      <c r="AS26" s="217">
        <f ca="1">IFERROR(COUNTIF(CD22:CF22,"&lt;0")*12+12-(CE22/(CE19/12)),0)</f>
        <v>0</v>
      </c>
      <c r="AT26" s="211">
        <f ca="1">IF(SUM($AT21:AT21)&gt;0,AT1,0)</f>
        <v>0</v>
      </c>
      <c r="AU26" s="211">
        <f ca="1">IF(SUM($AT21:AU21)&gt;0,AU1,0)</f>
        <v>0</v>
      </c>
      <c r="AV26" s="211">
        <f ca="1">IF(SUM($AT21:AV21)&gt;0,AV1,0)</f>
        <v>0</v>
      </c>
      <c r="AW26" s="211">
        <f ca="1">IF(SUM($AT21:AW21)&gt;0,AW1,0)</f>
        <v>0</v>
      </c>
      <c r="AX26" s="211">
        <f ca="1">IF(SUM($AT21:AX21)&gt;0,AX1,0)</f>
        <v>0</v>
      </c>
      <c r="AY26" s="211">
        <f ca="1">IF(SUM($AT21:AY21)&gt;0,AY1,0)</f>
        <v>0</v>
      </c>
      <c r="AZ26" s="211">
        <f ca="1">IF(SUM($AT21:AZ21)&gt;0,AZ1,0)</f>
        <v>0</v>
      </c>
      <c r="BA26" s="211">
        <f ca="1">IF(SUM($AT21:BA21)&gt;0,BA1,0)</f>
        <v>0</v>
      </c>
      <c r="BB26" s="211">
        <f ca="1">IF(SUM($AT21:BB21)&gt;0,BB1,0)</f>
        <v>0</v>
      </c>
      <c r="BC26" s="211">
        <f ca="1">IF(SUM($AT21:BC21)&gt;0,BC1,0)</f>
        <v>0</v>
      </c>
      <c r="BD26" s="211">
        <f ca="1">IF(SUM($AT21:BD21)&gt;0,BD1,0)</f>
        <v>0</v>
      </c>
      <c r="BE26" s="211">
        <f ca="1">IF(SUM($AT21:BE21)&gt;0,BE1,0)</f>
        <v>0</v>
      </c>
      <c r="BF26" s="211">
        <f ca="1">IF(SUM($AT21:BF21)&gt;0,BF1,0)</f>
        <v>0</v>
      </c>
      <c r="BG26" s="211">
        <f ca="1">IF(SUM($AT21:BG21)&gt;0,BG1,0)</f>
        <v>0</v>
      </c>
      <c r="BH26" s="211">
        <f ca="1">IF(SUM($AT21:BH21)&gt;0,BH1,0)</f>
        <v>0</v>
      </c>
      <c r="BI26" s="211">
        <f ca="1">IF(SUM($AT21:BI21)&gt;0,BI1,0)</f>
        <v>0</v>
      </c>
      <c r="BJ26" s="211">
        <f ca="1">IF(SUM($AT21:BJ21)&gt;0,BJ1,0)</f>
        <v>0</v>
      </c>
      <c r="BK26" s="211">
        <f ca="1">IF(SUM($AT21:BK21)&gt;0,BK1,0)</f>
        <v>0</v>
      </c>
      <c r="BL26" s="211">
        <f ca="1">IF(SUM($AT21:BL21)&gt;0,BL1,0)</f>
        <v>0</v>
      </c>
      <c r="BM26" s="211">
        <f ca="1">IF(SUM($AT21:BM21)&gt;0,BM1,0)</f>
        <v>0</v>
      </c>
      <c r="BN26" s="211">
        <f ca="1">IF(SUM($AT21:BN21)&gt;0,BN1,0)</f>
        <v>0</v>
      </c>
      <c r="BO26" s="211">
        <f ca="1">IF(SUM($AT21:BO21)&gt;0,BO1,0)</f>
        <v>0</v>
      </c>
      <c r="BP26" s="211">
        <f ca="1">IF(SUM($AT21:BP21)&gt;0,BP1,0)</f>
        <v>0</v>
      </c>
      <c r="BQ26" s="211">
        <f ca="1">IF(SUM($AT21:BQ21)&gt;0,BQ1,0)</f>
        <v>0</v>
      </c>
      <c r="BR26" s="211">
        <f ca="1">IF(SUM($AT21:BR21)&gt;0,BR1,0)</f>
        <v>0</v>
      </c>
      <c r="BS26" s="211">
        <f ca="1">IF(SUM($AT21:BS21)&gt;0,BS1,0)</f>
        <v>0</v>
      </c>
      <c r="BT26" s="211">
        <f ca="1">IF(SUM($AT21:BT21)&gt;0,BT1,0)</f>
        <v>0</v>
      </c>
      <c r="BU26" s="211">
        <f ca="1">IF(SUM($AT21:BU21)&gt;0,BU1,0)</f>
        <v>0</v>
      </c>
      <c r="BV26" s="211">
        <f ca="1">IF(SUM($AT21:BV21)&gt;0,BV1,0)</f>
        <v>0</v>
      </c>
      <c r="BW26" s="211">
        <f ca="1">IF(SUM($AT21:BW21)&gt;0,BW1,0)</f>
        <v>0</v>
      </c>
      <c r="BX26" s="211">
        <f ca="1">IF(SUM($AT21:BX21)&gt;0,BX1,0)</f>
        <v>0</v>
      </c>
      <c r="BY26" s="211">
        <f ca="1">IF(SUM($AT21:BY21)&gt;0,BY1,0)</f>
        <v>0</v>
      </c>
      <c r="BZ26" s="211">
        <f ca="1">IF(SUM($AT21:BZ21)&gt;0,BZ1,0)</f>
        <v>0</v>
      </c>
      <c r="CA26" s="211">
        <f ca="1">IF(SUM($AT21:CA21)&gt;0,CA1,0)</f>
        <v>0</v>
      </c>
      <c r="CB26" s="211">
        <f ca="1">IF(SUM($AT21:CB21)&gt;0,CB1,0)</f>
        <v>0</v>
      </c>
      <c r="CC26" s="211">
        <f ca="1">IF(SUM($AT21:CC21)&gt;0,CC1,0)</f>
        <v>0</v>
      </c>
      <c r="CD26" s="244"/>
      <c r="CE26" s="244"/>
      <c r="CF26" s="244"/>
      <c r="CG26" s="245"/>
    </row>
    <row r="27" spans="1:85" s="198" customFormat="1">
      <c r="A27" s="198" t="s">
        <v>50</v>
      </c>
      <c r="B27" s="218">
        <f>B26/12</f>
        <v>0</v>
      </c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44"/>
      <c r="AN27" s="244"/>
      <c r="AO27" s="244"/>
      <c r="AP27" s="245"/>
      <c r="AR27" s="198" t="s">
        <v>50</v>
      </c>
      <c r="AS27" s="218">
        <f ca="1">AS26/12</f>
        <v>0</v>
      </c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44"/>
      <c r="CE27" s="244"/>
      <c r="CF27" s="244"/>
      <c r="CG27" s="245"/>
    </row>
    <row r="28" spans="1:85" s="220" customFormat="1">
      <c r="A28" s="198" t="s">
        <v>142</v>
      </c>
      <c r="B28" s="219" t="e">
        <f>(AP17+AO14*2)/AP20*-1</f>
        <v>#REF!</v>
      </c>
      <c r="AM28" s="244"/>
      <c r="AN28" s="244"/>
      <c r="AO28" s="244"/>
      <c r="AP28" s="245"/>
      <c r="AR28" s="198" t="s">
        <v>142</v>
      </c>
      <c r="AS28" s="219" t="e">
        <f ca="1">CG19/CG20*-1</f>
        <v>#DIV/0!</v>
      </c>
      <c r="CD28" s="244"/>
      <c r="CE28" s="244"/>
      <c r="CF28" s="244"/>
      <c r="CG28" s="245"/>
    </row>
    <row r="29" spans="1:85" s="220" customFormat="1">
      <c r="B29" s="22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S29" s="221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</row>
    <row r="30" spans="1:85" s="220" customFormat="1">
      <c r="B30" s="221"/>
      <c r="AP30" s="221"/>
      <c r="AS30" s="221"/>
      <c r="CG30" s="221"/>
    </row>
    <row r="31" spans="1:85" s="220" customFormat="1">
      <c r="B31" s="221"/>
      <c r="AP31" s="221"/>
      <c r="AS31" s="221"/>
      <c r="CG31" s="221"/>
    </row>
    <row r="32" spans="1:85" s="220" customFormat="1">
      <c r="B32" s="221"/>
      <c r="AP32" s="221"/>
      <c r="AS32" s="221"/>
      <c r="CG32" s="221"/>
    </row>
    <row r="33" spans="1:85" s="220" customFormat="1">
      <c r="B33" s="221"/>
      <c r="AP33" s="221"/>
      <c r="AS33" s="221"/>
      <c r="CG33" s="221"/>
    </row>
    <row r="34" spans="1:85" s="220" customFormat="1">
      <c r="B34" s="221"/>
      <c r="AP34" s="221"/>
      <c r="AS34" s="221"/>
      <c r="CG34" s="221"/>
    </row>
    <row r="35" spans="1:85" s="220" customFormat="1">
      <c r="B35" s="221"/>
      <c r="AP35" s="221"/>
      <c r="AS35" s="221"/>
      <c r="CG35" s="221"/>
    </row>
    <row r="36" spans="1:85" s="220" customFormat="1">
      <c r="B36" s="221"/>
      <c r="AP36" s="221"/>
      <c r="AS36" s="221"/>
      <c r="CG36" s="221"/>
    </row>
    <row r="43" spans="1:85" hidden="1"/>
    <row r="44" spans="1:85" hidden="1">
      <c r="A44" s="225" t="s">
        <v>106</v>
      </c>
      <c r="AR44" s="225" t="s">
        <v>106</v>
      </c>
    </row>
    <row r="45" spans="1:85" hidden="1"/>
    <row r="46" spans="1:85" hidden="1"/>
    <row r="47" spans="1:85" hidden="1"/>
    <row r="48" spans="1:8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1:48" hidden="1"/>
    <row r="66" spans="1:48" hidden="1"/>
    <row r="67" spans="1:48" hidden="1"/>
    <row r="68" spans="1:48" hidden="1"/>
    <row r="69" spans="1:48" hidden="1"/>
    <row r="70" spans="1:48" hidden="1"/>
    <row r="71" spans="1:48" hidden="1"/>
    <row r="72" spans="1:48" hidden="1"/>
    <row r="73" spans="1:48" hidden="1"/>
    <row r="74" spans="1:48" hidden="1"/>
    <row r="75" spans="1:48" hidden="1"/>
    <row r="76" spans="1:48" hidden="1"/>
    <row r="77" spans="1:48" hidden="1">
      <c r="A77" s="223" t="s">
        <v>107</v>
      </c>
      <c r="B77" s="224">
        <v>0</v>
      </c>
      <c r="C77" s="223">
        <v>0</v>
      </c>
      <c r="D77" s="223">
        <v>0</v>
      </c>
      <c r="E77" s="223" t="s">
        <v>108</v>
      </c>
      <c r="AR77" s="223" t="s">
        <v>107</v>
      </c>
      <c r="AS77" s="224">
        <v>0</v>
      </c>
      <c r="AT77" s="223">
        <v>0</v>
      </c>
      <c r="AU77" s="223">
        <v>0</v>
      </c>
      <c r="AV77" s="223" t="s">
        <v>108</v>
      </c>
    </row>
    <row r="78" spans="1:48" hidden="1">
      <c r="A78" s="223">
        <v>0</v>
      </c>
      <c r="B78" s="226">
        <v>0</v>
      </c>
      <c r="C78" s="226">
        <v>0</v>
      </c>
      <c r="D78" s="226">
        <v>0</v>
      </c>
      <c r="E78" s="227" t="e">
        <f>SUM(B78:D78)/E82</f>
        <v>#REF!</v>
      </c>
      <c r="AR78" s="223">
        <v>0</v>
      </c>
      <c r="AS78" s="226">
        <v>0</v>
      </c>
      <c r="AT78" s="226">
        <v>0</v>
      </c>
      <c r="AU78" s="226">
        <v>0</v>
      </c>
      <c r="AV78" s="227" t="e">
        <f>SUM(AS78:AU78)/AV82</f>
        <v>#REF!</v>
      </c>
    </row>
    <row r="79" spans="1:48" hidden="1">
      <c r="A79" s="223" t="e">
        <v>#REF!</v>
      </c>
      <c r="B79" s="226" t="e">
        <v>#REF!</v>
      </c>
      <c r="C79" s="226" t="e">
        <v>#REF!</v>
      </c>
      <c r="D79" s="226" t="e">
        <v>#REF!</v>
      </c>
      <c r="E79" s="227" t="e">
        <f>SUM(B79:D79)/E82</f>
        <v>#REF!</v>
      </c>
      <c r="AR79" s="223" t="e">
        <v>#REF!</v>
      </c>
      <c r="AS79" s="226" t="e">
        <v>#REF!</v>
      </c>
      <c r="AT79" s="226" t="e">
        <v>#REF!</v>
      </c>
      <c r="AU79" s="226" t="e">
        <v>#REF!</v>
      </c>
      <c r="AV79" s="227" t="e">
        <f>SUM(AS79:AU79)/AV82</f>
        <v>#REF!</v>
      </c>
    </row>
    <row r="80" spans="1:48" hidden="1">
      <c r="A80" s="223" t="e">
        <v>#REF!</v>
      </c>
      <c r="B80" s="226" t="e">
        <v>#REF!</v>
      </c>
      <c r="C80" s="226" t="e">
        <v>#REF!</v>
      </c>
      <c r="D80" s="226" t="e">
        <v>#REF!</v>
      </c>
      <c r="E80" s="227" t="e">
        <f>SUM(B80:D80)/E82</f>
        <v>#REF!</v>
      </c>
      <c r="AR80" s="223" t="e">
        <v>#REF!</v>
      </c>
      <c r="AS80" s="226" t="e">
        <v>#REF!</v>
      </c>
      <c r="AT80" s="226" t="e">
        <v>#REF!</v>
      </c>
      <c r="AU80" s="226" t="e">
        <v>#REF!</v>
      </c>
      <c r="AV80" s="227" t="e">
        <f>SUM(AS80:AU80)/AV82</f>
        <v>#REF!</v>
      </c>
    </row>
    <row r="81" spans="1:48" hidden="1">
      <c r="A81" s="223">
        <v>0</v>
      </c>
      <c r="B81" s="226">
        <v>0</v>
      </c>
      <c r="C81" s="226">
        <v>0</v>
      </c>
      <c r="D81" s="226">
        <v>0</v>
      </c>
      <c r="E81" s="227" t="e">
        <f>SUM(B81:D81)/E82</f>
        <v>#REF!</v>
      </c>
      <c r="AR81" s="223">
        <v>0</v>
      </c>
      <c r="AS81" s="226">
        <v>0</v>
      </c>
      <c r="AT81" s="226">
        <v>0</v>
      </c>
      <c r="AU81" s="226">
        <v>0</v>
      </c>
      <c r="AV81" s="227" t="e">
        <f>SUM(AS81:AU81)/AV82</f>
        <v>#REF!</v>
      </c>
    </row>
    <row r="82" spans="1:48" hidden="1">
      <c r="A82" s="223" t="e">
        <v>#REF!</v>
      </c>
      <c r="B82" s="226" t="e">
        <v>#REF!</v>
      </c>
      <c r="C82" s="226" t="e">
        <v>#REF!</v>
      </c>
      <c r="D82" s="226" t="e">
        <v>#REF!</v>
      </c>
      <c r="E82" s="226" t="e">
        <v>#REF!</v>
      </c>
      <c r="AR82" s="223" t="e">
        <v>#REF!</v>
      </c>
      <c r="AS82" s="226" t="e">
        <v>#REF!</v>
      </c>
      <c r="AT82" s="226" t="e">
        <v>#REF!</v>
      </c>
      <c r="AU82" s="226" t="e">
        <v>#REF!</v>
      </c>
      <c r="AV82" s="226" t="e">
        <v>#REF!</v>
      </c>
    </row>
    <row r="83" spans="1:48" hidden="1">
      <c r="A83" s="223" t="e">
        <v>#REF!</v>
      </c>
      <c r="C83" s="228" t="e">
        <v>#REF!</v>
      </c>
      <c r="D83" s="228" t="e">
        <v>#REF!</v>
      </c>
      <c r="AR83" s="223" t="e">
        <v>#REF!</v>
      </c>
      <c r="AT83" s="228" t="e">
        <v>#REF!</v>
      </c>
      <c r="AU83" s="228" t="e">
        <v>#REF!</v>
      </c>
    </row>
    <row r="84" spans="1:48" hidden="1"/>
    <row r="85" spans="1:48" hidden="1">
      <c r="A85" s="223" t="s">
        <v>109</v>
      </c>
      <c r="B85" s="224" t="s">
        <v>25</v>
      </c>
      <c r="C85" s="223" t="s">
        <v>15</v>
      </c>
      <c r="D85" s="223" t="s">
        <v>16</v>
      </c>
      <c r="E85" s="223" t="s">
        <v>108</v>
      </c>
      <c r="AR85" s="223" t="s">
        <v>109</v>
      </c>
      <c r="AS85" s="224" t="s">
        <v>25</v>
      </c>
      <c r="AT85" s="223" t="s">
        <v>15</v>
      </c>
      <c r="AU85" s="223" t="s">
        <v>16</v>
      </c>
      <c r="AV85" s="223" t="s">
        <v>108</v>
      </c>
    </row>
    <row r="86" spans="1:48" hidden="1">
      <c r="A86" s="223" t="s">
        <v>110</v>
      </c>
      <c r="B86" s="226">
        <v>48476750.400000006</v>
      </c>
      <c r="C86" s="226">
        <v>79475580</v>
      </c>
      <c r="D86" s="226">
        <v>106992378.6629291</v>
      </c>
      <c r="E86" s="227">
        <f>SUM(B86:D86)/E90</f>
        <v>0.5306363850746757</v>
      </c>
      <c r="AR86" s="223" t="s">
        <v>110</v>
      </c>
      <c r="AS86" s="226">
        <v>48476750.400000006</v>
      </c>
      <c r="AT86" s="226">
        <v>79475580</v>
      </c>
      <c r="AU86" s="226">
        <v>106992378.6629291</v>
      </c>
      <c r="AV86" s="227">
        <f>SUM(AS86:AU86)/AV90</f>
        <v>0.5306363850746757</v>
      </c>
    </row>
    <row r="87" spans="1:48" hidden="1">
      <c r="A87" s="223" t="s">
        <v>111</v>
      </c>
      <c r="B87" s="226">
        <v>0</v>
      </c>
      <c r="C87" s="226">
        <v>24133111.488000009</v>
      </c>
      <c r="D87" s="226">
        <v>58151731.652775876</v>
      </c>
      <c r="E87" s="227">
        <f>SUM(B87:D87)/E90</f>
        <v>0.18584513728701579</v>
      </c>
      <c r="AR87" s="223" t="s">
        <v>111</v>
      </c>
      <c r="AS87" s="226">
        <v>0</v>
      </c>
      <c r="AT87" s="226">
        <v>24133111.488000009</v>
      </c>
      <c r="AU87" s="226">
        <v>58151731.652775876</v>
      </c>
      <c r="AV87" s="227">
        <f>SUM(AS87:AU87)/AV90</f>
        <v>0.18584513728701579</v>
      </c>
    </row>
    <row r="88" spans="1:48" hidden="1">
      <c r="A88" s="223" t="s">
        <v>112</v>
      </c>
      <c r="B88" s="226">
        <v>15346967.039999999</v>
      </c>
      <c r="C88" s="226">
        <v>23548320</v>
      </c>
      <c r="D88" s="226">
        <v>31701445.52975677</v>
      </c>
      <c r="E88" s="227">
        <f>SUM(B88:D88)/E90</f>
        <v>0.15944685504224532</v>
      </c>
      <c r="AR88" s="223" t="s">
        <v>112</v>
      </c>
      <c r="AS88" s="226">
        <v>15346967.039999999</v>
      </c>
      <c r="AT88" s="226">
        <v>23548320</v>
      </c>
      <c r="AU88" s="226">
        <v>31701445.52975677</v>
      </c>
      <c r="AV88" s="227">
        <f>SUM(AS88:AU88)/AV90</f>
        <v>0.15944685504224532</v>
      </c>
    </row>
    <row r="89" spans="1:48" hidden="1">
      <c r="A89" s="223" t="s">
        <v>113</v>
      </c>
      <c r="B89" s="226">
        <v>11773939.363200001</v>
      </c>
      <c r="C89" s="226">
        <v>19775672.639999986</v>
      </c>
      <c r="D89" s="226">
        <v>23384373.101676442</v>
      </c>
      <c r="E89" s="227">
        <f>SUM(B89:D89)/E90</f>
        <v>0.12407162259606364</v>
      </c>
      <c r="AR89" s="223" t="s">
        <v>113</v>
      </c>
      <c r="AS89" s="226">
        <v>11773939.363200001</v>
      </c>
      <c r="AT89" s="226">
        <v>19775672.639999986</v>
      </c>
      <c r="AU89" s="226">
        <v>23384373.101676442</v>
      </c>
      <c r="AV89" s="227">
        <f>SUM(AS89:AU89)/AV90</f>
        <v>0.12407162259606364</v>
      </c>
    </row>
    <row r="90" spans="1:48" hidden="1">
      <c r="A90" s="223" t="s">
        <v>114</v>
      </c>
      <c r="B90" s="226">
        <v>75597656.803200006</v>
      </c>
      <c r="C90" s="226">
        <v>146932684.12799999</v>
      </c>
      <c r="D90" s="226">
        <v>220229928.94713816</v>
      </c>
      <c r="E90" s="226">
        <v>442760269.87833798</v>
      </c>
      <c r="AR90" s="223" t="s">
        <v>114</v>
      </c>
      <c r="AS90" s="226">
        <v>75597656.803200006</v>
      </c>
      <c r="AT90" s="226">
        <v>146932684.12799999</v>
      </c>
      <c r="AU90" s="226">
        <v>220229928.94713816</v>
      </c>
      <c r="AV90" s="226">
        <v>442760269.87833798</v>
      </c>
    </row>
    <row r="91" spans="1:48" hidden="1">
      <c r="A91" s="223" t="s">
        <v>115</v>
      </c>
      <c r="C91" s="228">
        <v>0.94361426453340047</v>
      </c>
      <c r="D91" s="228">
        <v>0.49884915159710475</v>
      </c>
      <c r="AR91" s="223" t="s">
        <v>115</v>
      </c>
      <c r="AT91" s="228">
        <v>0.94361426453340047</v>
      </c>
      <c r="AU91" s="228">
        <v>0.49884915159710475</v>
      </c>
    </row>
    <row r="92" spans="1:48" hidden="1"/>
  </sheetData>
  <sheetProtection formatRows="0" insertHyperlinks="0" autoFilter="0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CCFF"/>
  </sheetPr>
  <dimension ref="A1:AX78"/>
  <sheetViews>
    <sheetView showGridLines="0" zoomScale="85" zoomScaleNormal="85" workbookViewId="0">
      <pane xSplit="3" ySplit="7" topLeftCell="D8" activePane="bottomRight" state="frozen"/>
      <selection activeCell="E28" sqref="E28"/>
      <selection pane="topRight" activeCell="E28" sqref="E28"/>
      <selection pane="bottomLeft" activeCell="E28" sqref="E28"/>
      <selection pane="bottomRight" activeCell="H8" sqref="H8:K13"/>
    </sheetView>
  </sheetViews>
  <sheetFormatPr defaultColWidth="9.109375" defaultRowHeight="13.8" outlineLevelRow="2" outlineLevelCol="1"/>
  <cols>
    <col min="1" max="1" width="40.44140625" style="72" customWidth="1"/>
    <col min="2" max="2" width="20.44140625" style="72" customWidth="1"/>
    <col min="3" max="4" width="15.44140625" style="72" customWidth="1"/>
    <col min="5" max="6" width="18.6640625" style="72" customWidth="1"/>
    <col min="7" max="8" width="15.44140625" style="72" customWidth="1"/>
    <col min="9" max="44" width="13.44140625" style="70" customWidth="1" outlineLevel="1"/>
    <col min="45" max="47" width="9.109375" style="72"/>
    <col min="48" max="48" width="15.44140625" style="72" customWidth="1"/>
    <col min="49" max="16384" width="9.109375" style="72"/>
  </cols>
  <sheetData>
    <row r="1" spans="1:50">
      <c r="A1" s="81"/>
      <c r="B1" s="68"/>
      <c r="C1" s="68"/>
      <c r="D1" s="69"/>
      <c r="E1" s="69"/>
      <c r="F1" s="69"/>
      <c r="G1" s="69"/>
      <c r="H1" s="69"/>
      <c r="I1" s="69"/>
      <c r="J1" s="69"/>
      <c r="AS1" s="71"/>
      <c r="AT1" s="71"/>
      <c r="AU1" s="71"/>
      <c r="AV1" s="69"/>
      <c r="AW1" s="71"/>
      <c r="AX1" s="71"/>
    </row>
    <row r="2" spans="1:50">
      <c r="A2" s="73" t="s">
        <v>244</v>
      </c>
      <c r="B2" s="512" t="s">
        <v>245</v>
      </c>
      <c r="C2" s="512" t="s">
        <v>241</v>
      </c>
      <c r="D2" s="69"/>
      <c r="E2" s="69"/>
      <c r="F2" s="69"/>
      <c r="G2" s="69"/>
      <c r="H2" s="69"/>
      <c r="I2" s="69"/>
      <c r="J2" s="69"/>
      <c r="AS2" s="71"/>
      <c r="AT2" s="71"/>
      <c r="AU2" s="71"/>
      <c r="AV2" s="69"/>
      <c r="AW2" s="71"/>
      <c r="AX2" s="71"/>
    </row>
    <row r="3" spans="1:50">
      <c r="A3" s="67"/>
      <c r="B3" s="83">
        <v>0.1</v>
      </c>
      <c r="C3" s="83">
        <v>0.1</v>
      </c>
      <c r="D3" s="69"/>
      <c r="E3" s="69"/>
      <c r="F3" s="69"/>
      <c r="G3" s="69"/>
      <c r="H3" s="69"/>
      <c r="I3" s="69"/>
      <c r="J3" s="69"/>
      <c r="AS3" s="71"/>
      <c r="AT3" s="71"/>
      <c r="AU3" s="71"/>
      <c r="AV3" s="69"/>
      <c r="AW3" s="71"/>
      <c r="AX3" s="71"/>
    </row>
    <row r="4" spans="1:50" ht="27.6">
      <c r="A4" s="74" t="s">
        <v>234</v>
      </c>
      <c r="B4" s="513" t="s">
        <v>150</v>
      </c>
      <c r="C4" s="513" t="s">
        <v>151</v>
      </c>
      <c r="D4" s="76"/>
      <c r="E4" s="341"/>
      <c r="F4" s="76"/>
      <c r="G4" s="76"/>
      <c r="H4" s="76"/>
      <c r="AS4" s="71"/>
      <c r="AT4" s="71"/>
      <c r="AU4" s="71"/>
      <c r="AV4" s="76"/>
      <c r="AW4" s="71"/>
      <c r="AX4" s="71"/>
    </row>
    <row r="5" spans="1:50" ht="18" customHeight="1">
      <c r="B5" s="514">
        <v>1504</v>
      </c>
      <c r="C5" s="85">
        <v>70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1"/>
      <c r="AT5" s="71"/>
      <c r="AU5" s="71"/>
      <c r="AW5" s="71"/>
      <c r="AX5" s="71"/>
    </row>
    <row r="6" spans="1:50" ht="18" customHeight="1" thickBot="1">
      <c r="C6" s="513"/>
      <c r="D6" s="77" t="s">
        <v>14</v>
      </c>
      <c r="E6" s="77" t="s">
        <v>15</v>
      </c>
      <c r="F6" s="77" t="s">
        <v>16</v>
      </c>
      <c r="G6" s="78" t="s">
        <v>30</v>
      </c>
      <c r="H6" s="78" t="s">
        <v>31</v>
      </c>
      <c r="I6" s="77">
        <v>1</v>
      </c>
      <c r="J6" s="77">
        <v>2</v>
      </c>
      <c r="K6" s="77">
        <v>3</v>
      </c>
      <c r="L6" s="77">
        <v>4</v>
      </c>
      <c r="M6" s="77">
        <v>5</v>
      </c>
      <c r="N6" s="77">
        <v>6</v>
      </c>
      <c r="O6" s="77">
        <v>7</v>
      </c>
      <c r="P6" s="77">
        <v>8</v>
      </c>
      <c r="Q6" s="77">
        <v>9</v>
      </c>
      <c r="R6" s="77">
        <v>10</v>
      </c>
      <c r="S6" s="77">
        <v>11</v>
      </c>
      <c r="T6" s="77">
        <v>12</v>
      </c>
      <c r="U6" s="77">
        <v>13</v>
      </c>
      <c r="V6" s="77">
        <v>14</v>
      </c>
      <c r="W6" s="77">
        <v>15</v>
      </c>
      <c r="X6" s="77">
        <v>16</v>
      </c>
      <c r="Y6" s="77">
        <v>17</v>
      </c>
      <c r="Z6" s="77">
        <v>18</v>
      </c>
      <c r="AA6" s="77">
        <v>19</v>
      </c>
      <c r="AB6" s="77">
        <v>20</v>
      </c>
      <c r="AC6" s="77">
        <v>21</v>
      </c>
      <c r="AD6" s="77">
        <v>22</v>
      </c>
      <c r="AE6" s="77">
        <v>23</v>
      </c>
      <c r="AF6" s="77">
        <v>24</v>
      </c>
      <c r="AG6" s="77">
        <v>25</v>
      </c>
      <c r="AH6" s="77">
        <v>26</v>
      </c>
      <c r="AI6" s="77">
        <v>27</v>
      </c>
      <c r="AJ6" s="77">
        <v>28</v>
      </c>
      <c r="AK6" s="77">
        <v>29</v>
      </c>
      <c r="AL6" s="77">
        <v>30</v>
      </c>
      <c r="AM6" s="77">
        <v>31</v>
      </c>
      <c r="AN6" s="77">
        <v>32</v>
      </c>
      <c r="AO6" s="77">
        <v>33</v>
      </c>
      <c r="AP6" s="77">
        <v>34</v>
      </c>
      <c r="AQ6" s="77">
        <v>35</v>
      </c>
      <c r="AR6" s="77">
        <v>36</v>
      </c>
      <c r="AS6" s="71"/>
      <c r="AT6" s="71"/>
      <c r="AU6" s="71"/>
      <c r="AV6" s="77"/>
      <c r="AW6" s="71"/>
      <c r="AX6" s="71"/>
    </row>
    <row r="7" spans="1:50" s="2" customFormat="1" ht="33" customHeight="1">
      <c r="A7" s="94"/>
      <c r="B7" s="515" t="s">
        <v>247</v>
      </c>
      <c r="C7" s="516" t="s">
        <v>246</v>
      </c>
      <c r="D7" s="86" t="s">
        <v>0</v>
      </c>
      <c r="E7" s="86" t="s">
        <v>0</v>
      </c>
      <c r="F7" s="86" t="s">
        <v>0</v>
      </c>
      <c r="G7" s="86" t="s">
        <v>18</v>
      </c>
      <c r="H7" s="86" t="s">
        <v>18</v>
      </c>
      <c r="I7" s="86" t="s">
        <v>14</v>
      </c>
      <c r="J7" s="86" t="s">
        <v>14</v>
      </c>
      <c r="K7" s="86" t="s">
        <v>14</v>
      </c>
      <c r="L7" s="86" t="s">
        <v>14</v>
      </c>
      <c r="M7" s="86" t="s">
        <v>14</v>
      </c>
      <c r="N7" s="86" t="s">
        <v>14</v>
      </c>
      <c r="O7" s="86" t="s">
        <v>14</v>
      </c>
      <c r="P7" s="86" t="s">
        <v>14</v>
      </c>
      <c r="Q7" s="86" t="s">
        <v>14</v>
      </c>
      <c r="R7" s="86" t="s">
        <v>14</v>
      </c>
      <c r="S7" s="86" t="s">
        <v>14</v>
      </c>
      <c r="T7" s="86" t="s">
        <v>14</v>
      </c>
      <c r="U7" s="86" t="s">
        <v>15</v>
      </c>
      <c r="V7" s="86" t="s">
        <v>15</v>
      </c>
      <c r="W7" s="86" t="s">
        <v>15</v>
      </c>
      <c r="X7" s="86" t="s">
        <v>15</v>
      </c>
      <c r="Y7" s="86" t="s">
        <v>15</v>
      </c>
      <c r="Z7" s="86" t="s">
        <v>15</v>
      </c>
      <c r="AA7" s="86" t="s">
        <v>15</v>
      </c>
      <c r="AB7" s="86" t="s">
        <v>15</v>
      </c>
      <c r="AC7" s="86" t="s">
        <v>15</v>
      </c>
      <c r="AD7" s="86" t="s">
        <v>15</v>
      </c>
      <c r="AE7" s="86" t="s">
        <v>15</v>
      </c>
      <c r="AF7" s="86" t="s">
        <v>15</v>
      </c>
      <c r="AG7" s="86" t="s">
        <v>16</v>
      </c>
      <c r="AH7" s="86" t="s">
        <v>16</v>
      </c>
      <c r="AI7" s="86" t="s">
        <v>16</v>
      </c>
      <c r="AJ7" s="86" t="s">
        <v>16</v>
      </c>
      <c r="AK7" s="86" t="s">
        <v>16</v>
      </c>
      <c r="AL7" s="86" t="s">
        <v>16</v>
      </c>
      <c r="AM7" s="86" t="s">
        <v>16</v>
      </c>
      <c r="AN7" s="86" t="s">
        <v>16</v>
      </c>
      <c r="AO7" s="86" t="s">
        <v>16</v>
      </c>
      <c r="AP7" s="86" t="s">
        <v>16</v>
      </c>
      <c r="AQ7" s="86" t="s">
        <v>16</v>
      </c>
      <c r="AR7" s="86" t="s">
        <v>16</v>
      </c>
      <c r="AS7" s="71"/>
      <c r="AT7" s="71"/>
      <c r="AU7" s="71"/>
      <c r="AV7" s="86"/>
      <c r="AW7" s="71"/>
      <c r="AX7" s="71"/>
    </row>
    <row r="8" spans="1:50" s="79" customFormat="1" ht="21" customHeight="1">
      <c r="A8" s="107" t="s">
        <v>134</v>
      </c>
      <c r="B8" s="517"/>
      <c r="C8" s="518"/>
      <c r="D8" s="109">
        <f t="shared" ref="D8" si="0">SUMIF($I$7:$AR$7,$D$6,$I8:$AR8)</f>
        <v>210730609</v>
      </c>
      <c r="E8" s="109">
        <f t="shared" ref="E8:E13" si="1">SUMIF($I$7:$AR$7,$E$6,$I8:$AR8)</f>
        <v>504328948</v>
      </c>
      <c r="F8" s="109">
        <f t="shared" ref="F8:F13" si="2">SUMIF($I$7:$AR$7,$F$6,$I8:$AR8)</f>
        <v>657695388</v>
      </c>
      <c r="G8" s="110">
        <f>IFERROR(E8/D8-1,0)</f>
        <v>1.3932401201384086</v>
      </c>
      <c r="H8" s="110">
        <f>IFERROR(F8/E8-1,0)</f>
        <v>0.30410001370771989</v>
      </c>
      <c r="I8" s="109">
        <f>'Revenue OFT_2'!J9</f>
        <v>7070682</v>
      </c>
      <c r="J8" s="109">
        <f>'Revenue OFT_2'!K9</f>
        <v>8941609</v>
      </c>
      <c r="K8" s="109">
        <f>'Revenue OFT_2'!L9</f>
        <v>12537100</v>
      </c>
      <c r="L8" s="109">
        <f>'Revenue OFT_2'!M9</f>
        <v>14452242</v>
      </c>
      <c r="M8" s="109">
        <f>'Revenue OFT_2'!N9</f>
        <v>17864933</v>
      </c>
      <c r="N8" s="109">
        <f>'Revenue OFT_2'!O9</f>
        <v>19797713</v>
      </c>
      <c r="O8" s="109">
        <f>'Revenue OFT_2'!P9</f>
        <v>21573555</v>
      </c>
      <c r="P8" s="109">
        <f>'Revenue OFT_2'!Q9</f>
        <v>21573555</v>
      </c>
      <c r="Q8" s="109">
        <f>'Revenue OFT_2'!R9</f>
        <v>21698555</v>
      </c>
      <c r="R8" s="109">
        <f>'Revenue OFT_2'!S9</f>
        <v>21698555</v>
      </c>
      <c r="S8" s="109">
        <f>'Revenue OFT_2'!T9</f>
        <v>21761055</v>
      </c>
      <c r="T8" s="109">
        <f>'Revenue OFT_2'!U9</f>
        <v>21761055</v>
      </c>
      <c r="U8" s="109">
        <f>'Revenue OFT_2'!V9</f>
        <v>41951579</v>
      </c>
      <c r="V8" s="109">
        <f>'Revenue OFT_2'!W9</f>
        <v>41951579</v>
      </c>
      <c r="W8" s="109">
        <f>'Revenue OFT_2'!X9</f>
        <v>41951579</v>
      </c>
      <c r="X8" s="109">
        <f>'Revenue OFT_2'!Y9</f>
        <v>41951579</v>
      </c>
      <c r="Y8" s="109">
        <f>'Revenue OFT_2'!Z9</f>
        <v>41951579</v>
      </c>
      <c r="Z8" s="109">
        <f>'Revenue OFT_2'!AA9</f>
        <v>42081579</v>
      </c>
      <c r="AA8" s="109">
        <f>'Revenue OFT_2'!AB9</f>
        <v>42081579</v>
      </c>
      <c r="AB8" s="109">
        <f>'Revenue OFT_2'!AC9</f>
        <v>42081579</v>
      </c>
      <c r="AC8" s="109">
        <f>'Revenue OFT_2'!AD9</f>
        <v>42081579</v>
      </c>
      <c r="AD8" s="109">
        <f>'Revenue OFT_2'!AE9</f>
        <v>42081579</v>
      </c>
      <c r="AE8" s="109">
        <f>'Revenue OFT_2'!AF9</f>
        <v>42081579</v>
      </c>
      <c r="AF8" s="109">
        <f>'Revenue OFT_2'!AG9</f>
        <v>42081579</v>
      </c>
      <c r="AG8" s="109">
        <f>'Revenue OFT_2'!AH9</f>
        <v>56169199</v>
      </c>
      <c r="AH8" s="109">
        <f>'Revenue OFT_2'!AI9</f>
        <v>54684199</v>
      </c>
      <c r="AI8" s="109">
        <f>'Revenue OFT_2'!AJ9</f>
        <v>54684199</v>
      </c>
      <c r="AJ8" s="109">
        <f>'Revenue OFT_2'!AK9</f>
        <v>54684199</v>
      </c>
      <c r="AK8" s="109">
        <f>'Revenue OFT_2'!AL9</f>
        <v>54684199</v>
      </c>
      <c r="AL8" s="109">
        <f>'Revenue OFT_2'!AM9</f>
        <v>54684199</v>
      </c>
      <c r="AM8" s="109">
        <f>'Revenue OFT_2'!AN9</f>
        <v>54684199</v>
      </c>
      <c r="AN8" s="109">
        <f>'Revenue OFT_2'!AO9</f>
        <v>54684199</v>
      </c>
      <c r="AO8" s="109">
        <f>'Revenue OFT_2'!AP9</f>
        <v>54684199</v>
      </c>
      <c r="AP8" s="109">
        <f>'Revenue OFT_2'!AQ9</f>
        <v>54684199</v>
      </c>
      <c r="AQ8" s="109">
        <f>'Revenue OFT_2'!AR9</f>
        <v>54684199</v>
      </c>
      <c r="AR8" s="109">
        <f>'Revenue OFT_2'!AS9</f>
        <v>54684199</v>
      </c>
      <c r="AS8" s="71"/>
      <c r="AT8" s="71"/>
      <c r="AU8" s="378" t="s">
        <v>346</v>
      </c>
      <c r="AV8" s="109">
        <f>SUMIF('Сравнение Рх показателей'!A:A,'PL OFT_2'!AU8,'Сравнение Рх показателей'!C:C)-D8</f>
        <v>0</v>
      </c>
      <c r="AW8" s="71"/>
      <c r="AX8" s="71"/>
    </row>
    <row r="9" spans="1:50" s="56" customFormat="1" ht="21" hidden="1" customHeight="1" outlineLevel="2">
      <c r="A9" s="95" t="s">
        <v>232</v>
      </c>
      <c r="B9" s="519"/>
      <c r="C9" s="520"/>
      <c r="D9" s="87">
        <f t="shared" ref="D9" si="3">SUMIF($I$7:$AR$7,$D$6,$I9:$AR9)</f>
        <v>85966400</v>
      </c>
      <c r="E9" s="87">
        <f t="shared" si="1"/>
        <v>194068000</v>
      </c>
      <c r="F9" s="87">
        <f t="shared" si="2"/>
        <v>252570000</v>
      </c>
      <c r="G9" s="88">
        <f t="shared" ref="G9:H11" si="4">IFERROR(E9/D9-1,0)</f>
        <v>1.2574866459453928</v>
      </c>
      <c r="H9" s="88">
        <f t="shared" si="4"/>
        <v>0.3014510377805717</v>
      </c>
      <c r="I9" s="87">
        <f>'Revenue OFT_2'!J10</f>
        <v>2884500</v>
      </c>
      <c r="J9" s="87">
        <f>'Revenue OFT_2'!K10</f>
        <v>3607700</v>
      </c>
      <c r="K9" s="87">
        <f>'Revenue OFT_2'!L10</f>
        <v>5064100</v>
      </c>
      <c r="L9" s="87">
        <f>'Revenue OFT_2'!M10</f>
        <v>5922300</v>
      </c>
      <c r="M9" s="87">
        <f>'Revenue OFT_2'!N10</f>
        <v>7287900</v>
      </c>
      <c r="N9" s="87">
        <f>'Revenue OFT_2'!O10</f>
        <v>7980100</v>
      </c>
      <c r="O9" s="87">
        <f>'Revenue OFT_2'!P10</f>
        <v>8765800</v>
      </c>
      <c r="P9" s="87">
        <f>'Revenue OFT_2'!Q10</f>
        <v>8765800</v>
      </c>
      <c r="Q9" s="87">
        <f>'Revenue OFT_2'!R10</f>
        <v>8890800</v>
      </c>
      <c r="R9" s="87">
        <f>'Revenue OFT_2'!S10</f>
        <v>8890800</v>
      </c>
      <c r="S9" s="87">
        <f>'Revenue OFT_2'!T10</f>
        <v>8953300</v>
      </c>
      <c r="T9" s="87">
        <f>'Revenue OFT_2'!U10</f>
        <v>8953300</v>
      </c>
      <c r="U9" s="87">
        <f>'Revenue OFT_2'!V10</f>
        <v>16096500</v>
      </c>
      <c r="V9" s="87">
        <f>'Revenue OFT_2'!W10</f>
        <v>16096500</v>
      </c>
      <c r="W9" s="87">
        <f>'Revenue OFT_2'!X10</f>
        <v>16096500</v>
      </c>
      <c r="X9" s="87">
        <f>'Revenue OFT_2'!Y10</f>
        <v>16096500</v>
      </c>
      <c r="Y9" s="87">
        <f>'Revenue OFT_2'!Z10</f>
        <v>16096500</v>
      </c>
      <c r="Z9" s="87">
        <f>'Revenue OFT_2'!AA10</f>
        <v>16226500</v>
      </c>
      <c r="AA9" s="87">
        <f>'Revenue OFT_2'!AB10</f>
        <v>16226500</v>
      </c>
      <c r="AB9" s="87">
        <f>'Revenue OFT_2'!AC10</f>
        <v>16226500</v>
      </c>
      <c r="AC9" s="87">
        <f>'Revenue OFT_2'!AD10</f>
        <v>16226500</v>
      </c>
      <c r="AD9" s="87">
        <f>'Revenue OFT_2'!AE10</f>
        <v>16226500</v>
      </c>
      <c r="AE9" s="87">
        <f>'Revenue OFT_2'!AF10</f>
        <v>16226500</v>
      </c>
      <c r="AF9" s="87">
        <f>'Revenue OFT_2'!AG10</f>
        <v>16226500</v>
      </c>
      <c r="AG9" s="87">
        <f>'Revenue OFT_2'!AH10</f>
        <v>21047500</v>
      </c>
      <c r="AH9" s="87">
        <f>'Revenue OFT_2'!AI10</f>
        <v>21047500</v>
      </c>
      <c r="AI9" s="87">
        <f>'Revenue OFT_2'!AJ10</f>
        <v>21047500</v>
      </c>
      <c r="AJ9" s="87">
        <f>'Revenue OFT_2'!AK10</f>
        <v>21047500</v>
      </c>
      <c r="AK9" s="87">
        <f>'Revenue OFT_2'!AL10</f>
        <v>21047500</v>
      </c>
      <c r="AL9" s="87">
        <f>'Revenue OFT_2'!AM10</f>
        <v>21047500</v>
      </c>
      <c r="AM9" s="87">
        <f>'Revenue OFT_2'!AN10</f>
        <v>21047500</v>
      </c>
      <c r="AN9" s="87">
        <f>'Revenue OFT_2'!AO10</f>
        <v>21047500</v>
      </c>
      <c r="AO9" s="87">
        <f>'Revenue OFT_2'!AP10</f>
        <v>21047500</v>
      </c>
      <c r="AP9" s="87">
        <f>'Revenue OFT_2'!AQ10</f>
        <v>21047500</v>
      </c>
      <c r="AQ9" s="87">
        <f>'Revenue OFT_2'!AR10</f>
        <v>21047500</v>
      </c>
      <c r="AR9" s="87">
        <f>'Revenue OFT_2'!AS10</f>
        <v>21047500</v>
      </c>
      <c r="AS9" s="71"/>
      <c r="AT9" s="71"/>
      <c r="AU9" s="71"/>
      <c r="AV9" s="109"/>
      <c r="AW9" s="71"/>
      <c r="AX9" s="71"/>
    </row>
    <row r="10" spans="1:50" s="79" customFormat="1" ht="21" customHeight="1" collapsed="1">
      <c r="A10" s="96" t="s">
        <v>211</v>
      </c>
      <c r="B10" s="521"/>
      <c r="C10" s="522"/>
      <c r="D10" s="89">
        <f>SUMIF($I$7:$AR$7,$D$6,$I10:$AR10)</f>
        <v>50429189.335812449</v>
      </c>
      <c r="E10" s="89">
        <f t="shared" si="1"/>
        <v>120689159.14452237</v>
      </c>
      <c r="F10" s="89">
        <f t="shared" si="2"/>
        <v>157390734.0947448</v>
      </c>
      <c r="G10" s="88">
        <f t="shared" si="4"/>
        <v>1.393240120138409</v>
      </c>
      <c r="H10" s="88">
        <f t="shared" si="4"/>
        <v>0.30410001370771989</v>
      </c>
      <c r="I10" s="89">
        <f>I11+I12</f>
        <v>1692059.6538081518</v>
      </c>
      <c r="J10" s="339">
        <f t="shared" ref="J10:AR10" si="5">J11+J12</f>
        <v>2139784.5114555932</v>
      </c>
      <c r="K10" s="339">
        <f t="shared" si="5"/>
        <v>3000208.6200112216</v>
      </c>
      <c r="L10" s="339">
        <f t="shared" si="5"/>
        <v>3458514.4113780865</v>
      </c>
      <c r="M10" s="339">
        <f t="shared" si="5"/>
        <v>4275193.304872971</v>
      </c>
      <c r="N10" s="339">
        <f t="shared" si="5"/>
        <v>4737719.9830190567</v>
      </c>
      <c r="O10" s="339">
        <f t="shared" si="5"/>
        <v>5162690.3889484955</v>
      </c>
      <c r="P10" s="339">
        <f t="shared" si="5"/>
        <v>5162690.3889484955</v>
      </c>
      <c r="Q10" s="339">
        <f t="shared" si="5"/>
        <v>5192603.6924637742</v>
      </c>
      <c r="R10" s="339">
        <f t="shared" si="5"/>
        <v>5192603.6924637742</v>
      </c>
      <c r="S10" s="339">
        <f t="shared" si="5"/>
        <v>5207560.3442214131</v>
      </c>
      <c r="T10" s="339">
        <f t="shared" si="5"/>
        <v>5207560.3442214131</v>
      </c>
      <c r="U10" s="339">
        <f t="shared" si="5"/>
        <v>10039282.524577593</v>
      </c>
      <c r="V10" s="339">
        <f t="shared" si="5"/>
        <v>10039282.524577593</v>
      </c>
      <c r="W10" s="339">
        <f t="shared" si="5"/>
        <v>10039282.524577593</v>
      </c>
      <c r="X10" s="339">
        <f t="shared" si="5"/>
        <v>10039282.524577593</v>
      </c>
      <c r="Y10" s="339">
        <f t="shared" si="5"/>
        <v>10039282.524577593</v>
      </c>
      <c r="Z10" s="339">
        <f t="shared" si="5"/>
        <v>10070392.360233484</v>
      </c>
      <c r="AA10" s="339">
        <f t="shared" si="5"/>
        <v>10070392.360233484</v>
      </c>
      <c r="AB10" s="339">
        <f t="shared" si="5"/>
        <v>10070392.360233484</v>
      </c>
      <c r="AC10" s="339">
        <f t="shared" si="5"/>
        <v>10070392.360233484</v>
      </c>
      <c r="AD10" s="339">
        <f t="shared" si="5"/>
        <v>10070392.360233484</v>
      </c>
      <c r="AE10" s="339">
        <f t="shared" si="5"/>
        <v>10070392.360233484</v>
      </c>
      <c r="AF10" s="339">
        <f t="shared" si="5"/>
        <v>10070392.360233484</v>
      </c>
      <c r="AG10" s="339">
        <f t="shared" si="5"/>
        <v>13441650.383176785</v>
      </c>
      <c r="AH10" s="339">
        <f t="shared" si="5"/>
        <v>13086280.337415272</v>
      </c>
      <c r="AI10" s="339">
        <f t="shared" si="5"/>
        <v>13086280.337415272</v>
      </c>
      <c r="AJ10" s="339">
        <f t="shared" si="5"/>
        <v>13086280.337415272</v>
      </c>
      <c r="AK10" s="339">
        <f t="shared" si="5"/>
        <v>13086280.337415272</v>
      </c>
      <c r="AL10" s="339">
        <f t="shared" si="5"/>
        <v>13086280.337415272</v>
      </c>
      <c r="AM10" s="339">
        <f t="shared" si="5"/>
        <v>13086280.337415272</v>
      </c>
      <c r="AN10" s="339">
        <f t="shared" si="5"/>
        <v>13086280.337415272</v>
      </c>
      <c r="AO10" s="339">
        <f t="shared" si="5"/>
        <v>13086280.337415272</v>
      </c>
      <c r="AP10" s="339">
        <f t="shared" si="5"/>
        <v>13086280.337415272</v>
      </c>
      <c r="AQ10" s="339">
        <f t="shared" si="5"/>
        <v>13086280.337415272</v>
      </c>
      <c r="AR10" s="339">
        <f t="shared" si="5"/>
        <v>13086280.337415272</v>
      </c>
      <c r="AS10" s="71"/>
      <c r="AT10" s="71"/>
      <c r="AU10" s="71"/>
      <c r="AV10" s="109"/>
      <c r="AW10" s="71"/>
      <c r="AX10" s="71"/>
    </row>
    <row r="11" spans="1:50" s="56" customFormat="1" ht="21" hidden="1" customHeight="1" outlineLevel="1">
      <c r="A11" s="97" t="s">
        <v>2</v>
      </c>
      <c r="B11" s="523"/>
      <c r="C11" s="102">
        <v>0.23400000000000001</v>
      </c>
      <c r="D11" s="87">
        <f t="shared" ref="D11:D12" si="6">SUMIF($I$7:$AR$7,$D$6,$I11:$AR11)</f>
        <v>49310962.505999997</v>
      </c>
      <c r="E11" s="87">
        <f t="shared" si="1"/>
        <v>118012973.83200002</v>
      </c>
      <c r="F11" s="87">
        <f t="shared" si="2"/>
        <v>153900720.79200003</v>
      </c>
      <c r="G11" s="88">
        <f t="shared" si="4"/>
        <v>1.393240120138409</v>
      </c>
      <c r="H11" s="88">
        <f t="shared" si="4"/>
        <v>0.30410001370772011</v>
      </c>
      <c r="I11" s="87">
        <f>$C$11*I8</f>
        <v>1654539.588</v>
      </c>
      <c r="J11" s="336">
        <f t="shared" ref="J11:AR11" si="7">$C$11*J8</f>
        <v>2092336.5060000001</v>
      </c>
      <c r="K11" s="336">
        <f t="shared" si="7"/>
        <v>2933681.4000000004</v>
      </c>
      <c r="L11" s="336">
        <f t="shared" si="7"/>
        <v>3381824.628</v>
      </c>
      <c r="M11" s="336">
        <f t="shared" si="7"/>
        <v>4180394.3220000002</v>
      </c>
      <c r="N11" s="336">
        <f t="shared" si="7"/>
        <v>4632664.8420000002</v>
      </c>
      <c r="O11" s="336">
        <f t="shared" si="7"/>
        <v>5048211.87</v>
      </c>
      <c r="P11" s="336">
        <f t="shared" si="7"/>
        <v>5048211.87</v>
      </c>
      <c r="Q11" s="336">
        <f t="shared" si="7"/>
        <v>5077461.87</v>
      </c>
      <c r="R11" s="336">
        <f t="shared" si="7"/>
        <v>5077461.87</v>
      </c>
      <c r="S11" s="336">
        <f t="shared" si="7"/>
        <v>5092086.87</v>
      </c>
      <c r="T11" s="336">
        <f t="shared" si="7"/>
        <v>5092086.87</v>
      </c>
      <c r="U11" s="336">
        <f t="shared" si="7"/>
        <v>9816669.4860000014</v>
      </c>
      <c r="V11" s="336">
        <f t="shared" si="7"/>
        <v>9816669.4860000014</v>
      </c>
      <c r="W11" s="336">
        <f t="shared" si="7"/>
        <v>9816669.4860000014</v>
      </c>
      <c r="X11" s="336">
        <f t="shared" si="7"/>
        <v>9816669.4860000014</v>
      </c>
      <c r="Y11" s="336">
        <f t="shared" si="7"/>
        <v>9816669.4860000014</v>
      </c>
      <c r="Z11" s="336">
        <f t="shared" si="7"/>
        <v>9847089.4860000014</v>
      </c>
      <c r="AA11" s="336">
        <f t="shared" si="7"/>
        <v>9847089.4860000014</v>
      </c>
      <c r="AB11" s="336">
        <f t="shared" si="7"/>
        <v>9847089.4860000014</v>
      </c>
      <c r="AC11" s="336">
        <f t="shared" si="7"/>
        <v>9847089.4860000014</v>
      </c>
      <c r="AD11" s="336">
        <f t="shared" si="7"/>
        <v>9847089.4860000014</v>
      </c>
      <c r="AE11" s="336">
        <f t="shared" si="7"/>
        <v>9847089.4860000014</v>
      </c>
      <c r="AF11" s="336">
        <f t="shared" si="7"/>
        <v>9847089.4860000014</v>
      </c>
      <c r="AG11" s="336">
        <f t="shared" si="7"/>
        <v>13143592.566000002</v>
      </c>
      <c r="AH11" s="336">
        <f t="shared" si="7"/>
        <v>12796102.566000002</v>
      </c>
      <c r="AI11" s="336">
        <f t="shared" si="7"/>
        <v>12796102.566000002</v>
      </c>
      <c r="AJ11" s="336">
        <f t="shared" si="7"/>
        <v>12796102.566000002</v>
      </c>
      <c r="AK11" s="336">
        <f t="shared" si="7"/>
        <v>12796102.566000002</v>
      </c>
      <c r="AL11" s="336">
        <f t="shared" si="7"/>
        <v>12796102.566000002</v>
      </c>
      <c r="AM11" s="336">
        <f t="shared" si="7"/>
        <v>12796102.566000002</v>
      </c>
      <c r="AN11" s="336">
        <f t="shared" si="7"/>
        <v>12796102.566000002</v>
      </c>
      <c r="AO11" s="336">
        <f t="shared" si="7"/>
        <v>12796102.566000002</v>
      </c>
      <c r="AP11" s="336">
        <f t="shared" si="7"/>
        <v>12796102.566000002</v>
      </c>
      <c r="AQ11" s="336">
        <f t="shared" si="7"/>
        <v>12796102.566000002</v>
      </c>
      <c r="AR11" s="336">
        <f t="shared" si="7"/>
        <v>12796102.566000002</v>
      </c>
      <c r="AS11" s="71"/>
      <c r="AT11" s="71"/>
      <c r="AU11" s="395" t="s">
        <v>347</v>
      </c>
      <c r="AV11" s="109">
        <f>SUMIF('Сравнение Рх показателей'!A:A,'PL OFT_2'!AU11,'Сравнение Рх показателей'!C:C)-D11</f>
        <v>0</v>
      </c>
      <c r="AW11" s="71"/>
      <c r="AX11" s="71"/>
    </row>
    <row r="12" spans="1:50" s="56" customFormat="1" ht="21" hidden="1" customHeight="1" outlineLevel="1">
      <c r="A12" s="97" t="s">
        <v>403</v>
      </c>
      <c r="B12" s="120">
        <f>2309822/435287531.8</f>
        <v>5.3064281222309061E-3</v>
      </c>
      <c r="C12" s="166">
        <f>B12</f>
        <v>5.3064281222309061E-3</v>
      </c>
      <c r="D12" s="336">
        <f t="shared" si="6"/>
        <v>1118226.8298124452</v>
      </c>
      <c r="E12" s="336">
        <f t="shared" si="1"/>
        <v>2676185.312522328</v>
      </c>
      <c r="F12" s="336">
        <f t="shared" si="2"/>
        <v>3490013.3027447681</v>
      </c>
      <c r="G12" s="88">
        <f t="shared" ref="G12" si="8">IFERROR(E12/D12-1,0)</f>
        <v>1.3932401201384086</v>
      </c>
      <c r="H12" s="88">
        <f t="shared" ref="H12" si="9">IFERROR(F12/E12-1,0)</f>
        <v>0.30410001370772055</v>
      </c>
      <c r="I12" s="336">
        <f>I8*$C$12</f>
        <v>37520.06580815187</v>
      </c>
      <c r="J12" s="336">
        <f t="shared" ref="J12:AR12" si="10">J8*$C$12</f>
        <v>47448.005455592967</v>
      </c>
      <c r="K12" s="336">
        <f t="shared" si="10"/>
        <v>66527.220011221099</v>
      </c>
      <c r="L12" s="336">
        <f t="shared" si="10"/>
        <v>76689.783378086635</v>
      </c>
      <c r="M12" s="336">
        <f t="shared" si="10"/>
        <v>94798.982872970955</v>
      </c>
      <c r="N12" s="336">
        <f t="shared" si="10"/>
        <v>105055.14101905641</v>
      </c>
      <c r="O12" s="336">
        <f t="shared" si="10"/>
        <v>114478.51894849517</v>
      </c>
      <c r="P12" s="336">
        <f t="shared" si="10"/>
        <v>114478.51894849517</v>
      </c>
      <c r="Q12" s="336">
        <f t="shared" si="10"/>
        <v>115141.82246377403</v>
      </c>
      <c r="R12" s="336">
        <f t="shared" si="10"/>
        <v>115141.82246377403</v>
      </c>
      <c r="S12" s="336">
        <f t="shared" si="10"/>
        <v>115473.47422141347</v>
      </c>
      <c r="T12" s="336">
        <f t="shared" si="10"/>
        <v>115473.47422141347</v>
      </c>
      <c r="U12" s="336">
        <f t="shared" si="10"/>
        <v>222613.03857759151</v>
      </c>
      <c r="V12" s="336">
        <f t="shared" si="10"/>
        <v>222613.03857759151</v>
      </c>
      <c r="W12" s="336">
        <f t="shared" si="10"/>
        <v>222613.03857759151</v>
      </c>
      <c r="X12" s="336">
        <f t="shared" si="10"/>
        <v>222613.03857759151</v>
      </c>
      <c r="Y12" s="336">
        <f t="shared" si="10"/>
        <v>222613.03857759151</v>
      </c>
      <c r="Z12" s="336">
        <f t="shared" si="10"/>
        <v>223302.87423348153</v>
      </c>
      <c r="AA12" s="336">
        <f t="shared" si="10"/>
        <v>223302.87423348153</v>
      </c>
      <c r="AB12" s="336">
        <f t="shared" si="10"/>
        <v>223302.87423348153</v>
      </c>
      <c r="AC12" s="336">
        <f t="shared" si="10"/>
        <v>223302.87423348153</v>
      </c>
      <c r="AD12" s="336">
        <f t="shared" si="10"/>
        <v>223302.87423348153</v>
      </c>
      <c r="AE12" s="336">
        <f t="shared" si="10"/>
        <v>223302.87423348153</v>
      </c>
      <c r="AF12" s="336">
        <f t="shared" si="10"/>
        <v>223302.87423348153</v>
      </c>
      <c r="AG12" s="336">
        <f t="shared" si="10"/>
        <v>298057.8171767841</v>
      </c>
      <c r="AH12" s="336">
        <f t="shared" si="10"/>
        <v>290177.77141527121</v>
      </c>
      <c r="AI12" s="336">
        <f t="shared" si="10"/>
        <v>290177.77141527121</v>
      </c>
      <c r="AJ12" s="336">
        <f t="shared" si="10"/>
        <v>290177.77141527121</v>
      </c>
      <c r="AK12" s="336">
        <f t="shared" si="10"/>
        <v>290177.77141527121</v>
      </c>
      <c r="AL12" s="336">
        <f t="shared" si="10"/>
        <v>290177.77141527121</v>
      </c>
      <c r="AM12" s="336">
        <f t="shared" si="10"/>
        <v>290177.77141527121</v>
      </c>
      <c r="AN12" s="336">
        <f t="shared" si="10"/>
        <v>290177.77141527121</v>
      </c>
      <c r="AO12" s="336">
        <f t="shared" si="10"/>
        <v>290177.77141527121</v>
      </c>
      <c r="AP12" s="336">
        <f t="shared" si="10"/>
        <v>290177.77141527121</v>
      </c>
      <c r="AQ12" s="336">
        <f t="shared" si="10"/>
        <v>290177.77141527121</v>
      </c>
      <c r="AR12" s="336">
        <f t="shared" si="10"/>
        <v>290177.77141527121</v>
      </c>
      <c r="AS12" s="71"/>
      <c r="AT12" s="71"/>
      <c r="AU12" s="395" t="s">
        <v>348</v>
      </c>
      <c r="AV12" s="109">
        <f>SUMIF('Сравнение Рх показателей'!A:A,'PL OFT_2'!AU12,'Сравнение Рх показателей'!C:C)-D12</f>
        <v>0</v>
      </c>
      <c r="AW12" s="71"/>
      <c r="AX12" s="71"/>
    </row>
    <row r="13" spans="1:50" s="79" customFormat="1" ht="21" customHeight="1" collapsed="1">
      <c r="A13" s="107" t="s">
        <v>213</v>
      </c>
      <c r="B13" s="517"/>
      <c r="C13" s="518"/>
      <c r="D13" s="109">
        <f t="shared" ref="D13" si="11">SUMIF($I$7:$AR$7,$D$6,$I13:$AR13)</f>
        <v>160301419.66418755</v>
      </c>
      <c r="E13" s="109">
        <f t="shared" si="1"/>
        <v>383639788.85547763</v>
      </c>
      <c r="F13" s="109">
        <f t="shared" si="2"/>
        <v>500304653.9052552</v>
      </c>
      <c r="G13" s="110">
        <f>IFERROR(E13/D13-1,0)</f>
        <v>1.3932401201384086</v>
      </c>
      <c r="H13" s="110">
        <f>IFERROR(F13/E13-1,0)</f>
        <v>0.30410001370772011</v>
      </c>
      <c r="I13" s="109">
        <f>I8-I10</f>
        <v>5378622.3461918477</v>
      </c>
      <c r="J13" s="109">
        <f t="shared" ref="J13:AR13" si="12">J8-J10</f>
        <v>6801824.4885444064</v>
      </c>
      <c r="K13" s="109">
        <f t="shared" si="12"/>
        <v>9536891.3799887784</v>
      </c>
      <c r="L13" s="109">
        <f t="shared" si="12"/>
        <v>10993727.588621914</v>
      </c>
      <c r="M13" s="109">
        <f t="shared" si="12"/>
        <v>13589739.695127029</v>
      </c>
      <c r="N13" s="109">
        <f t="shared" si="12"/>
        <v>15059993.016980942</v>
      </c>
      <c r="O13" s="109">
        <f t="shared" si="12"/>
        <v>16410864.611051504</v>
      </c>
      <c r="P13" s="109">
        <f t="shared" si="12"/>
        <v>16410864.611051504</v>
      </c>
      <c r="Q13" s="109">
        <f t="shared" si="12"/>
        <v>16505951.307536226</v>
      </c>
      <c r="R13" s="109">
        <f t="shared" si="12"/>
        <v>16505951.307536226</v>
      </c>
      <c r="S13" s="109">
        <f t="shared" si="12"/>
        <v>16553494.655778587</v>
      </c>
      <c r="T13" s="109">
        <f t="shared" si="12"/>
        <v>16553494.655778587</v>
      </c>
      <c r="U13" s="109">
        <f t="shared" si="12"/>
        <v>31912296.475422405</v>
      </c>
      <c r="V13" s="109">
        <f t="shared" si="12"/>
        <v>31912296.475422405</v>
      </c>
      <c r="W13" s="109">
        <f t="shared" si="12"/>
        <v>31912296.475422405</v>
      </c>
      <c r="X13" s="109">
        <f t="shared" si="12"/>
        <v>31912296.475422405</v>
      </c>
      <c r="Y13" s="109">
        <f t="shared" si="12"/>
        <v>31912296.475422405</v>
      </c>
      <c r="Z13" s="109">
        <f t="shared" si="12"/>
        <v>32011186.639766514</v>
      </c>
      <c r="AA13" s="109">
        <f t="shared" si="12"/>
        <v>32011186.639766514</v>
      </c>
      <c r="AB13" s="109">
        <f t="shared" si="12"/>
        <v>32011186.639766514</v>
      </c>
      <c r="AC13" s="109">
        <f t="shared" si="12"/>
        <v>32011186.639766514</v>
      </c>
      <c r="AD13" s="109">
        <f t="shared" si="12"/>
        <v>32011186.639766514</v>
      </c>
      <c r="AE13" s="109">
        <f t="shared" si="12"/>
        <v>32011186.639766514</v>
      </c>
      <c r="AF13" s="109">
        <f t="shared" si="12"/>
        <v>32011186.639766514</v>
      </c>
      <c r="AG13" s="109">
        <f t="shared" si="12"/>
        <v>42727548.616823211</v>
      </c>
      <c r="AH13" s="109">
        <f t="shared" si="12"/>
        <v>41597918.662584729</v>
      </c>
      <c r="AI13" s="109">
        <f t="shared" si="12"/>
        <v>41597918.662584729</v>
      </c>
      <c r="AJ13" s="109">
        <f t="shared" si="12"/>
        <v>41597918.662584729</v>
      </c>
      <c r="AK13" s="109">
        <f t="shared" si="12"/>
        <v>41597918.662584729</v>
      </c>
      <c r="AL13" s="109">
        <f t="shared" si="12"/>
        <v>41597918.662584729</v>
      </c>
      <c r="AM13" s="109">
        <f t="shared" si="12"/>
        <v>41597918.662584729</v>
      </c>
      <c r="AN13" s="109">
        <f t="shared" si="12"/>
        <v>41597918.662584729</v>
      </c>
      <c r="AO13" s="109">
        <f t="shared" si="12"/>
        <v>41597918.662584729</v>
      </c>
      <c r="AP13" s="109">
        <f t="shared" si="12"/>
        <v>41597918.662584729</v>
      </c>
      <c r="AQ13" s="109">
        <f t="shared" si="12"/>
        <v>41597918.662584729</v>
      </c>
      <c r="AR13" s="109">
        <f t="shared" si="12"/>
        <v>41597918.662584729</v>
      </c>
      <c r="AS13" s="71"/>
      <c r="AT13" s="71"/>
      <c r="AU13" s="71"/>
      <c r="AV13" s="109"/>
      <c r="AW13" s="71"/>
      <c r="AX13" s="71"/>
    </row>
    <row r="14" spans="1:50" s="71" customFormat="1" ht="21" customHeight="1">
      <c r="A14" s="98" t="s">
        <v>212</v>
      </c>
      <c r="B14" s="524"/>
      <c r="C14" s="525"/>
      <c r="D14" s="90">
        <f t="shared" ref="D14:F14" si="13">IFERROR(D13/D8,0)</f>
        <v>0.76069357187776909</v>
      </c>
      <c r="E14" s="90">
        <f t="shared" si="13"/>
        <v>0.76069357187776898</v>
      </c>
      <c r="F14" s="90">
        <f t="shared" si="13"/>
        <v>0.76069357187776909</v>
      </c>
      <c r="G14" s="91">
        <f>E14-D14</f>
        <v>0</v>
      </c>
      <c r="H14" s="91">
        <f>F14-E14</f>
        <v>0</v>
      </c>
      <c r="I14" s="90">
        <f>IFERROR(I13/I8,0)</f>
        <v>0.76069357187776898</v>
      </c>
      <c r="J14" s="90">
        <f t="shared" ref="J14:AR14" si="14">IFERROR(J13/J8,0)</f>
        <v>0.76069357187776898</v>
      </c>
      <c r="K14" s="90">
        <f t="shared" si="14"/>
        <v>0.76069357187776909</v>
      </c>
      <c r="L14" s="90">
        <f t="shared" si="14"/>
        <v>0.7606935718777692</v>
      </c>
      <c r="M14" s="90">
        <f t="shared" si="14"/>
        <v>0.76069357187776909</v>
      </c>
      <c r="N14" s="90">
        <f t="shared" si="14"/>
        <v>0.76069357187776898</v>
      </c>
      <c r="O14" s="90">
        <f t="shared" si="14"/>
        <v>0.76069357187776898</v>
      </c>
      <c r="P14" s="90">
        <f t="shared" si="14"/>
        <v>0.76069357187776898</v>
      </c>
      <c r="Q14" s="90">
        <f t="shared" si="14"/>
        <v>0.76069357187776909</v>
      </c>
      <c r="R14" s="90">
        <f t="shared" si="14"/>
        <v>0.76069357187776909</v>
      </c>
      <c r="S14" s="90">
        <f t="shared" si="14"/>
        <v>0.76069357187776909</v>
      </c>
      <c r="T14" s="90">
        <f t="shared" si="14"/>
        <v>0.76069357187776909</v>
      </c>
      <c r="U14" s="90">
        <f t="shared" si="14"/>
        <v>0.76069357187776898</v>
      </c>
      <c r="V14" s="90">
        <f t="shared" si="14"/>
        <v>0.76069357187776898</v>
      </c>
      <c r="W14" s="90">
        <f t="shared" si="14"/>
        <v>0.76069357187776898</v>
      </c>
      <c r="X14" s="90">
        <f t="shared" si="14"/>
        <v>0.76069357187776898</v>
      </c>
      <c r="Y14" s="90">
        <f t="shared" si="14"/>
        <v>0.76069357187776898</v>
      </c>
      <c r="Z14" s="90">
        <f t="shared" si="14"/>
        <v>0.76069357187776898</v>
      </c>
      <c r="AA14" s="90">
        <f t="shared" si="14"/>
        <v>0.76069357187776898</v>
      </c>
      <c r="AB14" s="90">
        <f t="shared" si="14"/>
        <v>0.76069357187776898</v>
      </c>
      <c r="AC14" s="90">
        <f t="shared" si="14"/>
        <v>0.76069357187776898</v>
      </c>
      <c r="AD14" s="90">
        <f t="shared" si="14"/>
        <v>0.76069357187776898</v>
      </c>
      <c r="AE14" s="90">
        <f t="shared" si="14"/>
        <v>0.76069357187776898</v>
      </c>
      <c r="AF14" s="90">
        <f t="shared" si="14"/>
        <v>0.76069357187776898</v>
      </c>
      <c r="AG14" s="90">
        <f t="shared" si="14"/>
        <v>0.76069357187776898</v>
      </c>
      <c r="AH14" s="90">
        <f t="shared" si="14"/>
        <v>0.76069357187776909</v>
      </c>
      <c r="AI14" s="90">
        <f t="shared" si="14"/>
        <v>0.76069357187776909</v>
      </c>
      <c r="AJ14" s="90">
        <f t="shared" si="14"/>
        <v>0.76069357187776909</v>
      </c>
      <c r="AK14" s="90">
        <f t="shared" si="14"/>
        <v>0.76069357187776909</v>
      </c>
      <c r="AL14" s="90">
        <f t="shared" si="14"/>
        <v>0.76069357187776909</v>
      </c>
      <c r="AM14" s="90">
        <f t="shared" si="14"/>
        <v>0.76069357187776909</v>
      </c>
      <c r="AN14" s="90">
        <f t="shared" si="14"/>
        <v>0.76069357187776909</v>
      </c>
      <c r="AO14" s="90">
        <f t="shared" si="14"/>
        <v>0.76069357187776909</v>
      </c>
      <c r="AP14" s="90">
        <f t="shared" si="14"/>
        <v>0.76069357187776909</v>
      </c>
      <c r="AQ14" s="90">
        <f t="shared" si="14"/>
        <v>0.76069357187776909</v>
      </c>
      <c r="AR14" s="90">
        <f t="shared" si="14"/>
        <v>0.76069357187776909</v>
      </c>
      <c r="AV14" s="109"/>
    </row>
    <row r="15" spans="1:50" s="80" customFormat="1" ht="21" customHeight="1">
      <c r="A15" s="96" t="s">
        <v>214</v>
      </c>
      <c r="B15" s="117"/>
      <c r="C15" s="166">
        <v>7.6999999999999999E-2</v>
      </c>
      <c r="D15" s="87">
        <f t="shared" ref="D15" si="15">SUMIF($I$7:$AR$7,$D$6,$I15:$AR15)</f>
        <v>11066158</v>
      </c>
      <c r="E15" s="87">
        <f>SUMIF($I$7:$AR$7,$E$6,$I15:$AR15)</f>
        <v>27012000</v>
      </c>
      <c r="F15" s="87">
        <f>SUMIF($I$7:$AR$7,$F$6,$I15:$AR15)</f>
        <v>37018440</v>
      </c>
      <c r="G15" s="88">
        <f>IFERROR(E15/D15-1,0)</f>
        <v>1.4409555692228504</v>
      </c>
      <c r="H15" s="88">
        <f>IFERROR(F15/E15-1,0)</f>
        <v>0.37044424700133272</v>
      </c>
      <c r="I15" s="87">
        <f>SUM(Payroll_OFT_2!L9:L10,Payroll_OFT_2!L15)</f>
        <v>375288</v>
      </c>
      <c r="J15" s="336">
        <f>SUM(Payroll_OFT_2!M9:M10,Payroll_OFT_2!M15)</f>
        <v>471060</v>
      </c>
      <c r="K15" s="336">
        <f>SUM(Payroll_OFT_2!N9:N10,Payroll_OFT_2!N15)</f>
        <v>658704</v>
      </c>
      <c r="L15" s="336">
        <f>SUM(Payroll_OFT_2!O9:O10,Payroll_OFT_2!O15)</f>
        <v>754476</v>
      </c>
      <c r="M15" s="336">
        <f>SUM(Payroll_OFT_2!P9:P10,Payroll_OFT_2!P15)</f>
        <v>942120</v>
      </c>
      <c r="N15" s="336">
        <f>SUM(Payroll_OFT_2!Q9:Q10,Payroll_OFT_2!Q15)</f>
        <v>1044754</v>
      </c>
      <c r="O15" s="336">
        <f>SUM(Payroll_OFT_2!R9:R10,Payroll_OFT_2!R15)</f>
        <v>1136626</v>
      </c>
      <c r="P15" s="336">
        <f>SUM(Payroll_OFT_2!S9:S10,Payroll_OFT_2!S15)</f>
        <v>1136626</v>
      </c>
      <c r="Q15" s="336">
        <f>SUM(Payroll_OFT_2!T9:T10,Payroll_OFT_2!T15)</f>
        <v>1136626</v>
      </c>
      <c r="R15" s="336">
        <f>SUM(Payroll_OFT_2!U9:U10,Payroll_OFT_2!U15)</f>
        <v>1136626</v>
      </c>
      <c r="S15" s="336">
        <f>SUM(Payroll_OFT_2!V9:V10,Payroll_OFT_2!V15)</f>
        <v>1136626</v>
      </c>
      <c r="T15" s="336">
        <f>SUM(Payroll_OFT_2!W9:W10,Payroll_OFT_2!W15)</f>
        <v>1136626</v>
      </c>
      <c r="U15" s="336">
        <f>SUM(Payroll_OFT_2!X9:X10,Payroll_OFT_2!X15)</f>
        <v>2251000</v>
      </c>
      <c r="V15" s="336">
        <f>SUM(Payroll_OFT_2!Y9:Y10,Payroll_OFT_2!Y15)</f>
        <v>2251000</v>
      </c>
      <c r="W15" s="336">
        <f>SUM(Payroll_OFT_2!Z9:Z10,Payroll_OFT_2!Z15)</f>
        <v>2251000</v>
      </c>
      <c r="X15" s="336">
        <f>SUM(Payroll_OFT_2!AA9:AA10,Payroll_OFT_2!AA15)</f>
        <v>2251000</v>
      </c>
      <c r="Y15" s="336">
        <f>SUM(Payroll_OFT_2!AB9:AB10,Payroll_OFT_2!AB15)</f>
        <v>2251000</v>
      </c>
      <c r="Z15" s="336">
        <f>SUM(Payroll_OFT_2!AC9:AC10,Payroll_OFT_2!AC15)</f>
        <v>2251000</v>
      </c>
      <c r="AA15" s="336">
        <f>SUM(Payroll_OFT_2!AD9:AD10,Payroll_OFT_2!AD15)</f>
        <v>2251000</v>
      </c>
      <c r="AB15" s="336">
        <f>SUM(Payroll_OFT_2!AE9:AE10,Payroll_OFT_2!AE15)</f>
        <v>2251000</v>
      </c>
      <c r="AC15" s="336">
        <f>SUM(Payroll_OFT_2!AF9:AF10,Payroll_OFT_2!AF15)</f>
        <v>2251000</v>
      </c>
      <c r="AD15" s="336">
        <f>SUM(Payroll_OFT_2!AG9:AG10,Payroll_OFT_2!AG15)</f>
        <v>2251000</v>
      </c>
      <c r="AE15" s="336">
        <f>SUM(Payroll_OFT_2!AH9:AH10,Payroll_OFT_2!AH15)</f>
        <v>2251000</v>
      </c>
      <c r="AF15" s="336">
        <f>SUM(Payroll_OFT_2!AI9:AI10,Payroll_OFT_2!AI15)</f>
        <v>2251000</v>
      </c>
      <c r="AG15" s="336">
        <f>SUM(Payroll_OFT_2!AJ9:AJ10,Payroll_OFT_2!AJ15)</f>
        <v>3084870</v>
      </c>
      <c r="AH15" s="336">
        <f>SUM(Payroll_OFT_2!AK9:AK10,Payroll_OFT_2!AK15)</f>
        <v>3084870</v>
      </c>
      <c r="AI15" s="336">
        <f>SUM(Payroll_OFT_2!AL9:AL10,Payroll_OFT_2!AL15)</f>
        <v>3084870</v>
      </c>
      <c r="AJ15" s="336">
        <f>SUM(Payroll_OFT_2!AM9:AM10,Payroll_OFT_2!AM15)</f>
        <v>3084870</v>
      </c>
      <c r="AK15" s="336">
        <f>SUM(Payroll_OFT_2!AN9:AN10,Payroll_OFT_2!AN15)</f>
        <v>3084870</v>
      </c>
      <c r="AL15" s="336">
        <f>SUM(Payroll_OFT_2!AO9:AO10,Payroll_OFT_2!AO15)</f>
        <v>3084870</v>
      </c>
      <c r="AM15" s="336">
        <f>SUM(Payroll_OFT_2!AP9:AP10,Payroll_OFT_2!AP15)</f>
        <v>3084870</v>
      </c>
      <c r="AN15" s="336">
        <f>SUM(Payroll_OFT_2!AQ9:AQ10,Payroll_OFT_2!AQ15)</f>
        <v>3084870</v>
      </c>
      <c r="AO15" s="336">
        <f>SUM(Payroll_OFT_2!AR9:AR10,Payroll_OFT_2!AR15)</f>
        <v>3084870</v>
      </c>
      <c r="AP15" s="336">
        <f>SUM(Payroll_OFT_2!AS9:AS10,Payroll_OFT_2!AS15)</f>
        <v>3084870</v>
      </c>
      <c r="AQ15" s="336">
        <f>SUM(Payroll_OFT_2!AT9:AT10,Payroll_OFT_2!AT15)</f>
        <v>3084870</v>
      </c>
      <c r="AR15" s="336">
        <f>SUM(Payroll_OFT_2!AU9:AU10,Payroll_OFT_2!AU15)</f>
        <v>3084870</v>
      </c>
      <c r="AS15" s="71"/>
      <c r="AT15" s="71"/>
      <c r="AU15" s="395" t="s">
        <v>350</v>
      </c>
      <c r="AV15" s="109">
        <f>SUMIF('Сравнение Рх показателей'!A:A,'PL OFT_2'!AU15,'Сравнение Рх показателей'!C:C)-D15</f>
        <v>0</v>
      </c>
      <c r="AW15" s="71"/>
      <c r="AX15" s="71"/>
    </row>
    <row r="16" spans="1:50" s="79" customFormat="1" ht="21" customHeight="1">
      <c r="A16" s="107" t="s">
        <v>135</v>
      </c>
      <c r="B16" s="517"/>
      <c r="C16" s="518"/>
      <c r="D16" s="109">
        <f t="shared" ref="D16" si="16">SUMIF($I$7:$AR$7,$D$6,$I16:$AR16)</f>
        <v>149235261.66418755</v>
      </c>
      <c r="E16" s="109">
        <f>SUMIF($I$7:$AR$7,$E$6,$I16:$AR16)</f>
        <v>356627788.85547763</v>
      </c>
      <c r="F16" s="109">
        <f>SUMIF($I$7:$AR$7,$F$6,$I16:$AR16)</f>
        <v>463286213.9052552</v>
      </c>
      <c r="G16" s="110">
        <f>IFERROR(E16/D16-1,0)</f>
        <v>1.3897019034145512</v>
      </c>
      <c r="H16" s="110">
        <f>IFERROR(F16/E16-1,0)</f>
        <v>0.29907491334894432</v>
      </c>
      <c r="I16" s="109">
        <f>I13-I15</f>
        <v>5003334.3461918477</v>
      </c>
      <c r="J16" s="109">
        <f t="shared" ref="J16:AR16" si="17">J13-J15</f>
        <v>6330764.4885444064</v>
      </c>
      <c r="K16" s="109">
        <f t="shared" si="17"/>
        <v>8878187.3799887784</v>
      </c>
      <c r="L16" s="109">
        <f t="shared" si="17"/>
        <v>10239251.588621914</v>
      </c>
      <c r="M16" s="109">
        <f t="shared" si="17"/>
        <v>12647619.695127029</v>
      </c>
      <c r="N16" s="109">
        <f t="shared" si="17"/>
        <v>14015239.016980942</v>
      </c>
      <c r="O16" s="109">
        <f t="shared" si="17"/>
        <v>15274238.611051504</v>
      </c>
      <c r="P16" s="109">
        <f t="shared" si="17"/>
        <v>15274238.611051504</v>
      </c>
      <c r="Q16" s="109">
        <f t="shared" si="17"/>
        <v>15369325.307536226</v>
      </c>
      <c r="R16" s="109">
        <f t="shared" si="17"/>
        <v>15369325.307536226</v>
      </c>
      <c r="S16" s="109">
        <f t="shared" si="17"/>
        <v>15416868.655778587</v>
      </c>
      <c r="T16" s="109">
        <f t="shared" si="17"/>
        <v>15416868.655778587</v>
      </c>
      <c r="U16" s="109">
        <f t="shared" si="17"/>
        <v>29661296.475422405</v>
      </c>
      <c r="V16" s="109">
        <f t="shared" si="17"/>
        <v>29661296.475422405</v>
      </c>
      <c r="W16" s="109">
        <f t="shared" si="17"/>
        <v>29661296.475422405</v>
      </c>
      <c r="X16" s="109">
        <f t="shared" si="17"/>
        <v>29661296.475422405</v>
      </c>
      <c r="Y16" s="109">
        <f t="shared" si="17"/>
        <v>29661296.475422405</v>
      </c>
      <c r="Z16" s="109">
        <f t="shared" si="17"/>
        <v>29760186.639766514</v>
      </c>
      <c r="AA16" s="109">
        <f t="shared" si="17"/>
        <v>29760186.639766514</v>
      </c>
      <c r="AB16" s="109">
        <f t="shared" si="17"/>
        <v>29760186.639766514</v>
      </c>
      <c r="AC16" s="109">
        <f t="shared" si="17"/>
        <v>29760186.639766514</v>
      </c>
      <c r="AD16" s="109">
        <f t="shared" si="17"/>
        <v>29760186.639766514</v>
      </c>
      <c r="AE16" s="109">
        <f t="shared" si="17"/>
        <v>29760186.639766514</v>
      </c>
      <c r="AF16" s="109">
        <f t="shared" si="17"/>
        <v>29760186.639766514</v>
      </c>
      <c r="AG16" s="109">
        <f t="shared" si="17"/>
        <v>39642678.616823211</v>
      </c>
      <c r="AH16" s="109">
        <f t="shared" si="17"/>
        <v>38513048.662584729</v>
      </c>
      <c r="AI16" s="109">
        <f t="shared" si="17"/>
        <v>38513048.662584729</v>
      </c>
      <c r="AJ16" s="109">
        <f t="shared" si="17"/>
        <v>38513048.662584729</v>
      </c>
      <c r="AK16" s="109">
        <f t="shared" si="17"/>
        <v>38513048.662584729</v>
      </c>
      <c r="AL16" s="109">
        <f t="shared" si="17"/>
        <v>38513048.662584729</v>
      </c>
      <c r="AM16" s="109">
        <f t="shared" si="17"/>
        <v>38513048.662584729</v>
      </c>
      <c r="AN16" s="109">
        <f t="shared" si="17"/>
        <v>38513048.662584729</v>
      </c>
      <c r="AO16" s="109">
        <f t="shared" si="17"/>
        <v>38513048.662584729</v>
      </c>
      <c r="AP16" s="109">
        <f t="shared" si="17"/>
        <v>38513048.662584729</v>
      </c>
      <c r="AQ16" s="109">
        <f t="shared" si="17"/>
        <v>38513048.662584729</v>
      </c>
      <c r="AR16" s="109">
        <f t="shared" si="17"/>
        <v>38513048.662584729</v>
      </c>
      <c r="AS16" s="71"/>
      <c r="AT16" s="71"/>
      <c r="AU16" s="71"/>
      <c r="AV16" s="109"/>
      <c r="AW16" s="71"/>
      <c r="AX16" s="71"/>
    </row>
    <row r="17" spans="1:50" s="71" customFormat="1" ht="21" customHeight="1">
      <c r="A17" s="98" t="s">
        <v>212</v>
      </c>
      <c r="B17" s="123"/>
      <c r="C17" s="525"/>
      <c r="D17" s="90">
        <f t="shared" ref="D17:F17" si="18">IFERROR(D16/D8,"")</f>
        <v>0.70818027989558718</v>
      </c>
      <c r="E17" s="90">
        <f t="shared" si="18"/>
        <v>0.70713329121745683</v>
      </c>
      <c r="F17" s="90">
        <f t="shared" si="18"/>
        <v>0.70440848812103152</v>
      </c>
      <c r="G17" s="91">
        <f>E17-D17</f>
        <v>-1.0469886781303561E-3</v>
      </c>
      <c r="H17" s="91">
        <f>F17-E17</f>
        <v>-2.72480309642531E-3</v>
      </c>
      <c r="I17" s="90">
        <f>IFERROR(I16/I8,"")</f>
        <v>0.70761693796890424</v>
      </c>
      <c r="J17" s="90">
        <f t="shared" ref="J17:AR17" si="19">IFERROR(J16/J8,"")</f>
        <v>0.70801177825427242</v>
      </c>
      <c r="K17" s="90">
        <f t="shared" si="19"/>
        <v>0.70815319172605928</v>
      </c>
      <c r="L17" s="90">
        <f t="shared" si="19"/>
        <v>0.70848879977389767</v>
      </c>
      <c r="M17" s="90">
        <f t="shared" si="19"/>
        <v>0.70795785772759567</v>
      </c>
      <c r="N17" s="90">
        <f t="shared" si="19"/>
        <v>0.70792212297354462</v>
      </c>
      <c r="O17" s="90">
        <f t="shared" si="19"/>
        <v>0.70800749394578244</v>
      </c>
      <c r="P17" s="90">
        <f t="shared" si="19"/>
        <v>0.70800749394578244</v>
      </c>
      <c r="Q17" s="90">
        <f t="shared" si="19"/>
        <v>0.70831100538889458</v>
      </c>
      <c r="R17" s="90">
        <f t="shared" si="19"/>
        <v>0.70831100538889458</v>
      </c>
      <c r="S17" s="90">
        <f t="shared" si="19"/>
        <v>0.70846145353608025</v>
      </c>
      <c r="T17" s="90">
        <f t="shared" si="19"/>
        <v>0.70846145353608025</v>
      </c>
      <c r="U17" s="90">
        <f t="shared" si="19"/>
        <v>0.7070364735358925</v>
      </c>
      <c r="V17" s="90">
        <f t="shared" si="19"/>
        <v>0.7070364735358925</v>
      </c>
      <c r="W17" s="90">
        <f t="shared" si="19"/>
        <v>0.7070364735358925</v>
      </c>
      <c r="X17" s="90">
        <f t="shared" si="19"/>
        <v>0.7070364735358925</v>
      </c>
      <c r="Y17" s="90">
        <f t="shared" si="19"/>
        <v>0.7070364735358925</v>
      </c>
      <c r="Z17" s="90">
        <f t="shared" si="19"/>
        <v>0.70720223306655183</v>
      </c>
      <c r="AA17" s="90">
        <f t="shared" si="19"/>
        <v>0.70720223306655183</v>
      </c>
      <c r="AB17" s="90">
        <f t="shared" si="19"/>
        <v>0.70720223306655183</v>
      </c>
      <c r="AC17" s="90">
        <f t="shared" si="19"/>
        <v>0.70720223306655183</v>
      </c>
      <c r="AD17" s="90">
        <f t="shared" si="19"/>
        <v>0.70720223306655183</v>
      </c>
      <c r="AE17" s="90">
        <f t="shared" si="19"/>
        <v>0.70720223306655183</v>
      </c>
      <c r="AF17" s="90">
        <f t="shared" si="19"/>
        <v>0.70720223306655183</v>
      </c>
      <c r="AG17" s="90">
        <f t="shared" si="19"/>
        <v>0.70577254656637012</v>
      </c>
      <c r="AH17" s="90">
        <f t="shared" si="19"/>
        <v>0.70428111532884896</v>
      </c>
      <c r="AI17" s="90">
        <f t="shared" si="19"/>
        <v>0.70428111532884896</v>
      </c>
      <c r="AJ17" s="90">
        <f t="shared" si="19"/>
        <v>0.70428111532884896</v>
      </c>
      <c r="AK17" s="90">
        <f t="shared" si="19"/>
        <v>0.70428111532884896</v>
      </c>
      <c r="AL17" s="90">
        <f t="shared" si="19"/>
        <v>0.70428111532884896</v>
      </c>
      <c r="AM17" s="90">
        <f t="shared" si="19"/>
        <v>0.70428111532884896</v>
      </c>
      <c r="AN17" s="90">
        <f t="shared" si="19"/>
        <v>0.70428111532884896</v>
      </c>
      <c r="AO17" s="90">
        <f t="shared" si="19"/>
        <v>0.70428111532884896</v>
      </c>
      <c r="AP17" s="90">
        <f t="shared" si="19"/>
        <v>0.70428111532884896</v>
      </c>
      <c r="AQ17" s="90">
        <f t="shared" si="19"/>
        <v>0.70428111532884896</v>
      </c>
      <c r="AR17" s="90">
        <f t="shared" si="19"/>
        <v>0.70428111532884896</v>
      </c>
      <c r="AV17" s="109"/>
    </row>
    <row r="18" spans="1:50" s="79" customFormat="1" ht="21" customHeight="1">
      <c r="A18" s="96" t="s">
        <v>215</v>
      </c>
      <c r="B18" s="526"/>
      <c r="C18" s="522"/>
      <c r="D18" s="89">
        <f t="shared" ref="D18:D21" si="20">SUMIF($I$7:$AR$7,$D$6,$I18:$AR18)</f>
        <v>6702064.9832210317</v>
      </c>
      <c r="E18" s="89">
        <f t="shared" ref="E18:F18" si="21">SUM(E19:E21)</f>
        <v>16265616.678557277</v>
      </c>
      <c r="F18" s="89">
        <f t="shared" si="21"/>
        <v>22173663.8763377</v>
      </c>
      <c r="G18" s="92">
        <f t="shared" ref="G18:H21" si="22">IFERROR(E18/D18-1,0)</f>
        <v>1.4269559783856312</v>
      </c>
      <c r="H18" s="92">
        <f t="shared" si="22"/>
        <v>0.36322306830019646</v>
      </c>
      <c r="I18" s="89">
        <f>SUM(I19:I21)</f>
        <v>227369.91518034085</v>
      </c>
      <c r="J18" s="339">
        <f t="shared" ref="J18:AR18" si="23">SUM(J19:J21)</f>
        <v>285281.81529924693</v>
      </c>
      <c r="K18" s="339">
        <f t="shared" si="23"/>
        <v>398966.77288941731</v>
      </c>
      <c r="L18" s="339">
        <f t="shared" si="23"/>
        <v>457148.09829567967</v>
      </c>
      <c r="M18" s="339">
        <f t="shared" si="23"/>
        <v>570833.05588585022</v>
      </c>
      <c r="N18" s="339">
        <f t="shared" si="23"/>
        <v>632777.64750957862</v>
      </c>
      <c r="O18" s="339">
        <f t="shared" si="23"/>
        <v>688281.27969348663</v>
      </c>
      <c r="P18" s="339">
        <f t="shared" si="23"/>
        <v>688281.27969348663</v>
      </c>
      <c r="Q18" s="339">
        <f t="shared" si="23"/>
        <v>688281.27969348663</v>
      </c>
      <c r="R18" s="339">
        <f t="shared" si="23"/>
        <v>688281.27969348663</v>
      </c>
      <c r="S18" s="339">
        <f t="shared" si="23"/>
        <v>688281.27969348663</v>
      </c>
      <c r="T18" s="339">
        <f t="shared" si="23"/>
        <v>688281.27969348663</v>
      </c>
      <c r="U18" s="339">
        <f t="shared" si="23"/>
        <v>1355468.0565464399</v>
      </c>
      <c r="V18" s="339">
        <f t="shared" si="23"/>
        <v>1355468.0565464399</v>
      </c>
      <c r="W18" s="339">
        <f t="shared" si="23"/>
        <v>1355468.0565464399</v>
      </c>
      <c r="X18" s="339">
        <f t="shared" si="23"/>
        <v>1355468.0565464399</v>
      </c>
      <c r="Y18" s="339">
        <f t="shared" si="23"/>
        <v>1355468.0565464399</v>
      </c>
      <c r="Z18" s="339">
        <f t="shared" si="23"/>
        <v>1355468.0565464399</v>
      </c>
      <c r="AA18" s="339">
        <f t="shared" si="23"/>
        <v>1355468.0565464399</v>
      </c>
      <c r="AB18" s="339">
        <f t="shared" si="23"/>
        <v>1355468.0565464399</v>
      </c>
      <c r="AC18" s="339">
        <f t="shared" si="23"/>
        <v>1355468.0565464399</v>
      </c>
      <c r="AD18" s="339">
        <f t="shared" si="23"/>
        <v>1355468.0565464399</v>
      </c>
      <c r="AE18" s="339">
        <f t="shared" si="23"/>
        <v>1355468.0565464399</v>
      </c>
      <c r="AF18" s="339">
        <f t="shared" si="23"/>
        <v>1355468.0565464399</v>
      </c>
      <c r="AG18" s="339">
        <f t="shared" si="23"/>
        <v>1847805.3230281412</v>
      </c>
      <c r="AH18" s="339">
        <f t="shared" si="23"/>
        <v>1847805.3230281412</v>
      </c>
      <c r="AI18" s="339">
        <f t="shared" si="23"/>
        <v>1847805.3230281412</v>
      </c>
      <c r="AJ18" s="339">
        <f t="shared" si="23"/>
        <v>1847805.3230281412</v>
      </c>
      <c r="AK18" s="339">
        <f t="shared" si="23"/>
        <v>1847805.3230281412</v>
      </c>
      <c r="AL18" s="339">
        <f t="shared" si="23"/>
        <v>1847805.3230281412</v>
      </c>
      <c r="AM18" s="339">
        <f t="shared" si="23"/>
        <v>1847805.3230281412</v>
      </c>
      <c r="AN18" s="339">
        <f t="shared" si="23"/>
        <v>1847805.3230281412</v>
      </c>
      <c r="AO18" s="339">
        <f t="shared" si="23"/>
        <v>1847805.3230281412</v>
      </c>
      <c r="AP18" s="339">
        <f t="shared" si="23"/>
        <v>1847805.3230281412</v>
      </c>
      <c r="AQ18" s="339">
        <f t="shared" si="23"/>
        <v>1847805.3230281412</v>
      </c>
      <c r="AR18" s="339">
        <f t="shared" si="23"/>
        <v>1847805.3230281412</v>
      </c>
      <c r="AS18" s="71"/>
      <c r="AT18" s="71"/>
      <c r="AU18" s="407" t="s">
        <v>351</v>
      </c>
      <c r="AV18" s="109">
        <f>SUMIF('Сравнение Рх показателей'!A:A,'PL OFT_2'!AU18,'Сравнение Рх показателей'!C:C)-D18</f>
        <v>0</v>
      </c>
      <c r="AW18" s="71"/>
      <c r="AX18" s="71"/>
    </row>
    <row r="19" spans="1:50" s="56" customFormat="1" ht="21" hidden="1" customHeight="1" outlineLevel="1">
      <c r="A19" s="163" t="s">
        <v>216</v>
      </c>
      <c r="B19" s="527"/>
      <c r="C19" s="528"/>
      <c r="D19" s="87">
        <f t="shared" si="20"/>
        <v>1653563.8390804604</v>
      </c>
      <c r="E19" s="87">
        <f>SUMIF($I$7:$AR$7,$E$6,$I19:$AR19)</f>
        <v>4036275.8620689679</v>
      </c>
      <c r="F19" s="87">
        <f>SUMIF($I$7:$AR$7,$F$6,$I19:$AR19)</f>
        <v>5531491.0344827604</v>
      </c>
      <c r="G19" s="93">
        <f t="shared" si="22"/>
        <v>1.4409555692228508</v>
      </c>
      <c r="H19" s="93">
        <f t="shared" si="22"/>
        <v>0.37044424700133227</v>
      </c>
      <c r="I19" s="87">
        <f>Payroll_OFT_2!L40-I15</f>
        <v>56077.517241379304</v>
      </c>
      <c r="J19" s="336">
        <f>Payroll_OFT_2!M40-J15</f>
        <v>70388.275862068986</v>
      </c>
      <c r="K19" s="336">
        <f>Payroll_OFT_2!N40-K15</f>
        <v>98427.034482758609</v>
      </c>
      <c r="L19" s="336">
        <f>Payroll_OFT_2!O40-L15</f>
        <v>112737.79310344823</v>
      </c>
      <c r="M19" s="336">
        <f>Payroll_OFT_2!P40-M15</f>
        <v>140776.55172413797</v>
      </c>
      <c r="N19" s="336">
        <f>Payroll_OFT_2!Q40-N15</f>
        <v>156112.66666666674</v>
      </c>
      <c r="O19" s="336">
        <f>Payroll_OFT_2!R40-O15</f>
        <v>169840.66666666674</v>
      </c>
      <c r="P19" s="336">
        <f>Payroll_OFT_2!S40-P15</f>
        <v>169840.66666666674</v>
      </c>
      <c r="Q19" s="336">
        <f>Payroll_OFT_2!T40-Q15</f>
        <v>169840.66666666674</v>
      </c>
      <c r="R19" s="336">
        <f>Payroll_OFT_2!U40-R15</f>
        <v>169840.66666666674</v>
      </c>
      <c r="S19" s="336">
        <f>Payroll_OFT_2!V40-S15</f>
        <v>169840.66666666674</v>
      </c>
      <c r="T19" s="336">
        <f>Payroll_OFT_2!W40-T15</f>
        <v>169840.66666666674</v>
      </c>
      <c r="U19" s="336">
        <f>Payroll_OFT_2!X40-U15</f>
        <v>336356.32183908066</v>
      </c>
      <c r="V19" s="336">
        <f>Payroll_OFT_2!Y40-V15</f>
        <v>336356.32183908066</v>
      </c>
      <c r="W19" s="336">
        <f>Payroll_OFT_2!Z40-W15</f>
        <v>336356.32183908066</v>
      </c>
      <c r="X19" s="336">
        <f>Payroll_OFT_2!AA40-X15</f>
        <v>336356.32183908066</v>
      </c>
      <c r="Y19" s="336">
        <f>Payroll_OFT_2!AB40-Y15</f>
        <v>336356.32183908066</v>
      </c>
      <c r="Z19" s="336">
        <f>Payroll_OFT_2!AC40-Z15</f>
        <v>336356.32183908066</v>
      </c>
      <c r="AA19" s="336">
        <f>Payroll_OFT_2!AD40-AA15</f>
        <v>336356.32183908066</v>
      </c>
      <c r="AB19" s="336">
        <f>Payroll_OFT_2!AE40-AB15</f>
        <v>336356.32183908066</v>
      </c>
      <c r="AC19" s="336">
        <f>Payroll_OFT_2!AF40-AC15</f>
        <v>336356.32183908066</v>
      </c>
      <c r="AD19" s="336">
        <f>Payroll_OFT_2!AG40-AD15</f>
        <v>336356.32183908066</v>
      </c>
      <c r="AE19" s="336">
        <f>Payroll_OFT_2!AH40-AE15</f>
        <v>336356.32183908066</v>
      </c>
      <c r="AF19" s="336">
        <f>Payroll_OFT_2!AI40-AF15</f>
        <v>336356.32183908066</v>
      </c>
      <c r="AG19" s="336">
        <f>Payroll_OFT_2!AJ40-AG15</f>
        <v>460957.5862068967</v>
      </c>
      <c r="AH19" s="336">
        <f>Payroll_OFT_2!AK40-AH15</f>
        <v>460957.5862068967</v>
      </c>
      <c r="AI19" s="336">
        <f>Payroll_OFT_2!AL40-AI15</f>
        <v>460957.5862068967</v>
      </c>
      <c r="AJ19" s="336">
        <f>Payroll_OFT_2!AM40-AJ15</f>
        <v>460957.5862068967</v>
      </c>
      <c r="AK19" s="336">
        <f>Payroll_OFT_2!AN40-AK15</f>
        <v>460957.5862068967</v>
      </c>
      <c r="AL19" s="336">
        <f>Payroll_OFT_2!AO40-AL15</f>
        <v>460957.5862068967</v>
      </c>
      <c r="AM19" s="336">
        <f>Payroll_OFT_2!AP40-AM15</f>
        <v>460957.5862068967</v>
      </c>
      <c r="AN19" s="336">
        <f>Payroll_OFT_2!AQ40-AN15</f>
        <v>460957.5862068967</v>
      </c>
      <c r="AO19" s="336">
        <f>Payroll_OFT_2!AR40-AO15</f>
        <v>460957.5862068967</v>
      </c>
      <c r="AP19" s="336">
        <f>Payroll_OFT_2!AS40-AP15</f>
        <v>460957.5862068967</v>
      </c>
      <c r="AQ19" s="336">
        <f>Payroll_OFT_2!AT40-AQ15</f>
        <v>460957.5862068967</v>
      </c>
      <c r="AR19" s="336">
        <f>Payroll_OFT_2!AU40-AR15</f>
        <v>460957.5862068967</v>
      </c>
      <c r="AS19" s="71"/>
      <c r="AT19" s="71"/>
      <c r="AU19" s="71"/>
      <c r="AV19" s="109"/>
      <c r="AW19" s="71"/>
      <c r="AX19" s="71"/>
    </row>
    <row r="20" spans="1:50" s="56" customFormat="1" ht="21" hidden="1" customHeight="1" outlineLevel="1">
      <c r="A20" s="163" t="s">
        <v>217</v>
      </c>
      <c r="B20" s="527"/>
      <c r="C20" s="528"/>
      <c r="D20" s="87">
        <f t="shared" si="20"/>
        <v>470000</v>
      </c>
      <c r="E20" s="87">
        <f>SUMIF($I$7:$AR$7,$E$6,$I20:$AR20)</f>
        <v>1077600</v>
      </c>
      <c r="F20" s="87">
        <f>SUMIF($I$7:$AR$7,$F$6,$I20:$AR20)</f>
        <v>1389600</v>
      </c>
      <c r="G20" s="93">
        <f>IFERROR(E20/D20-1,0)</f>
        <v>1.2927659574468087</v>
      </c>
      <c r="H20" s="93">
        <f t="shared" si="22"/>
        <v>0.28953229398663693</v>
      </c>
      <c r="I20" s="87">
        <f>Payroll_OFT_2!L44+Payroll_OFT_2!L46</f>
        <v>16000</v>
      </c>
      <c r="J20" s="336">
        <f>Payroll_OFT_2!M44+Payroll_OFT_2!M46</f>
        <v>20000</v>
      </c>
      <c r="K20" s="336">
        <f>Payroll_OFT_2!N44+Payroll_OFT_2!N46</f>
        <v>28000</v>
      </c>
      <c r="L20" s="336">
        <f>Payroll_OFT_2!O44+Payroll_OFT_2!O46</f>
        <v>32200</v>
      </c>
      <c r="M20" s="336">
        <f>Payroll_OFT_2!P44+Payroll_OFT_2!P46</f>
        <v>40200</v>
      </c>
      <c r="N20" s="336">
        <f>Payroll_OFT_2!Q44+Payroll_OFT_2!Q46</f>
        <v>44400</v>
      </c>
      <c r="O20" s="336">
        <f>Payroll_OFT_2!R44+Payroll_OFT_2!R46</f>
        <v>48200</v>
      </c>
      <c r="P20" s="336">
        <f>Payroll_OFT_2!S44+Payroll_OFT_2!S46</f>
        <v>48200</v>
      </c>
      <c r="Q20" s="336">
        <f>Payroll_OFT_2!T44+Payroll_OFT_2!T46</f>
        <v>48200</v>
      </c>
      <c r="R20" s="336">
        <f>Payroll_OFT_2!U44+Payroll_OFT_2!U46</f>
        <v>48200</v>
      </c>
      <c r="S20" s="336">
        <f>Payroll_OFT_2!V44+Payroll_OFT_2!V46</f>
        <v>48200</v>
      </c>
      <c r="T20" s="336">
        <f>Payroll_OFT_2!W44+Payroll_OFT_2!W46</f>
        <v>48200</v>
      </c>
      <c r="U20" s="336">
        <f>Payroll_OFT_2!X44+Payroll_OFT_2!X46</f>
        <v>89800</v>
      </c>
      <c r="V20" s="336">
        <f>Payroll_OFT_2!Y44+Payroll_OFT_2!Y46</f>
        <v>89800</v>
      </c>
      <c r="W20" s="336">
        <f>Payroll_OFT_2!Z44+Payroll_OFT_2!Z46</f>
        <v>89800</v>
      </c>
      <c r="X20" s="336">
        <f>Payroll_OFT_2!AA44+Payroll_OFT_2!AA46</f>
        <v>89800</v>
      </c>
      <c r="Y20" s="336">
        <f>Payroll_OFT_2!AB44+Payroll_OFT_2!AB46</f>
        <v>89800</v>
      </c>
      <c r="Z20" s="336">
        <f>Payroll_OFT_2!AC44+Payroll_OFT_2!AC46</f>
        <v>89800</v>
      </c>
      <c r="AA20" s="336">
        <f>Payroll_OFT_2!AD44+Payroll_OFT_2!AD46</f>
        <v>89800</v>
      </c>
      <c r="AB20" s="336">
        <f>Payroll_OFT_2!AE44+Payroll_OFT_2!AE46</f>
        <v>89800</v>
      </c>
      <c r="AC20" s="336">
        <f>Payroll_OFT_2!AF44+Payroll_OFT_2!AF46</f>
        <v>89800</v>
      </c>
      <c r="AD20" s="336">
        <f>Payroll_OFT_2!AG44+Payroll_OFT_2!AG46</f>
        <v>89800</v>
      </c>
      <c r="AE20" s="336">
        <f>Payroll_OFT_2!AH44+Payroll_OFT_2!AH46</f>
        <v>89800</v>
      </c>
      <c r="AF20" s="336">
        <f>Payroll_OFT_2!AI44+Payroll_OFT_2!AI46</f>
        <v>89800</v>
      </c>
      <c r="AG20" s="336">
        <f>Payroll_OFT_2!AJ44+Payroll_OFT_2!AJ46</f>
        <v>115800</v>
      </c>
      <c r="AH20" s="336">
        <f>Payroll_OFT_2!AK44+Payroll_OFT_2!AK46</f>
        <v>115800</v>
      </c>
      <c r="AI20" s="336">
        <f>Payroll_OFT_2!AL44+Payroll_OFT_2!AL46</f>
        <v>115800</v>
      </c>
      <c r="AJ20" s="336">
        <f>Payroll_OFT_2!AM44+Payroll_OFT_2!AM46</f>
        <v>115800</v>
      </c>
      <c r="AK20" s="336">
        <f>Payroll_OFT_2!AN44+Payroll_OFT_2!AN46</f>
        <v>115800</v>
      </c>
      <c r="AL20" s="336">
        <f>Payroll_OFT_2!AO44+Payroll_OFT_2!AO46</f>
        <v>115800</v>
      </c>
      <c r="AM20" s="336">
        <f>Payroll_OFT_2!AP44+Payroll_OFT_2!AP46</f>
        <v>115800</v>
      </c>
      <c r="AN20" s="336">
        <f>Payroll_OFT_2!AQ44+Payroll_OFT_2!AQ46</f>
        <v>115800</v>
      </c>
      <c r="AO20" s="336">
        <f>Payroll_OFT_2!AR44+Payroll_OFT_2!AR46</f>
        <v>115800</v>
      </c>
      <c r="AP20" s="336">
        <f>Payroll_OFT_2!AS44+Payroll_OFT_2!AS46</f>
        <v>115800</v>
      </c>
      <c r="AQ20" s="336">
        <f>Payroll_OFT_2!AT44+Payroll_OFT_2!AT46</f>
        <v>115800</v>
      </c>
      <c r="AR20" s="336">
        <f>Payroll_OFT_2!AU44+Payroll_OFT_2!AU46</f>
        <v>115800</v>
      </c>
      <c r="AS20" s="71"/>
      <c r="AT20" s="71"/>
      <c r="AU20" s="71"/>
      <c r="AV20" s="109"/>
      <c r="AW20" s="71"/>
      <c r="AX20" s="71"/>
    </row>
    <row r="21" spans="1:50" s="56" customFormat="1" ht="21" hidden="1" customHeight="1" outlineLevel="1">
      <c r="A21" s="163" t="s">
        <v>1</v>
      </c>
      <c r="B21" s="527"/>
      <c r="C21" s="528"/>
      <c r="D21" s="87">
        <f t="shared" si="20"/>
        <v>4578501.1441405741</v>
      </c>
      <c r="E21" s="87">
        <f>SUMIF($I$7:$AR$7,$E$6,$I21:$AR21)</f>
        <v>11151740.816488309</v>
      </c>
      <c r="F21" s="87">
        <f>SUMIF($I$7:$AR$7,$F$6,$I21:$AR21)</f>
        <v>15252572.841854937</v>
      </c>
      <c r="G21" s="93">
        <f t="shared" si="22"/>
        <v>1.435675009224354</v>
      </c>
      <c r="H21" s="93">
        <f t="shared" si="22"/>
        <v>0.36773021296400454</v>
      </c>
      <c r="I21" s="87">
        <f>Payroll_OFT_2!L42</f>
        <v>155292.39793896154</v>
      </c>
      <c r="J21" s="87">
        <f>Payroll_OFT_2!M42</f>
        <v>194893.53943717797</v>
      </c>
      <c r="K21" s="87">
        <f>Payroll_OFT_2!N42</f>
        <v>272539.7384066587</v>
      </c>
      <c r="L21" s="87">
        <f>Payroll_OFT_2!O42</f>
        <v>312210.30519223143</v>
      </c>
      <c r="M21" s="87">
        <f>Payroll_OFT_2!P42</f>
        <v>389856.50416171225</v>
      </c>
      <c r="N21" s="87">
        <f>Payroll_OFT_2!Q42</f>
        <v>432264.98084291187</v>
      </c>
      <c r="O21" s="87">
        <f>Payroll_OFT_2!R42</f>
        <v>470240.61302681995</v>
      </c>
      <c r="P21" s="87">
        <f>Payroll_OFT_2!S42</f>
        <v>470240.61302681995</v>
      </c>
      <c r="Q21" s="87">
        <f>Payroll_OFT_2!T42</f>
        <v>470240.61302681995</v>
      </c>
      <c r="R21" s="87">
        <f>Payroll_OFT_2!U42</f>
        <v>470240.61302681995</v>
      </c>
      <c r="S21" s="87">
        <f>Payroll_OFT_2!V42</f>
        <v>470240.61302681995</v>
      </c>
      <c r="T21" s="87">
        <f>Payroll_OFT_2!W42</f>
        <v>470240.61302681995</v>
      </c>
      <c r="U21" s="87">
        <f>Payroll_OFT_2!X42</f>
        <v>929311.73470735911</v>
      </c>
      <c r="V21" s="87">
        <f>Payroll_OFT_2!Y42</f>
        <v>929311.73470735911</v>
      </c>
      <c r="W21" s="87">
        <f>Payroll_OFT_2!Z42</f>
        <v>929311.73470735911</v>
      </c>
      <c r="X21" s="87">
        <f>Payroll_OFT_2!AA42</f>
        <v>929311.73470735911</v>
      </c>
      <c r="Y21" s="87">
        <f>Payroll_OFT_2!AB42</f>
        <v>929311.73470735911</v>
      </c>
      <c r="Z21" s="87">
        <f>Payroll_OFT_2!AC42</f>
        <v>929311.73470735911</v>
      </c>
      <c r="AA21" s="87">
        <f>Payroll_OFT_2!AD42</f>
        <v>929311.73470735911</v>
      </c>
      <c r="AB21" s="87">
        <f>Payroll_OFT_2!AE42</f>
        <v>929311.73470735911</v>
      </c>
      <c r="AC21" s="87">
        <f>Payroll_OFT_2!AF42</f>
        <v>929311.73470735911</v>
      </c>
      <c r="AD21" s="87">
        <f>Payroll_OFT_2!AG42</f>
        <v>929311.73470735911</v>
      </c>
      <c r="AE21" s="87">
        <f>Payroll_OFT_2!AH42</f>
        <v>929311.73470735911</v>
      </c>
      <c r="AF21" s="87">
        <f>Payroll_OFT_2!AI42</f>
        <v>929311.73470735911</v>
      </c>
      <c r="AG21" s="87">
        <f>Payroll_OFT_2!AJ42</f>
        <v>1271047.7368212445</v>
      </c>
      <c r="AH21" s="87">
        <f>Payroll_OFT_2!AK42</f>
        <v>1271047.7368212445</v>
      </c>
      <c r="AI21" s="87">
        <f>Payroll_OFT_2!AL42</f>
        <v>1271047.7368212445</v>
      </c>
      <c r="AJ21" s="87">
        <f>Payroll_OFT_2!AM42</f>
        <v>1271047.7368212445</v>
      </c>
      <c r="AK21" s="87">
        <f>Payroll_OFT_2!AN42</f>
        <v>1271047.7368212445</v>
      </c>
      <c r="AL21" s="87">
        <f>Payroll_OFT_2!AO42</f>
        <v>1271047.7368212445</v>
      </c>
      <c r="AM21" s="87">
        <f>Payroll_OFT_2!AP42</f>
        <v>1271047.7368212445</v>
      </c>
      <c r="AN21" s="87">
        <f>Payroll_OFT_2!AQ42</f>
        <v>1271047.7368212445</v>
      </c>
      <c r="AO21" s="87">
        <f>Payroll_OFT_2!AR42</f>
        <v>1271047.7368212445</v>
      </c>
      <c r="AP21" s="87">
        <f>Payroll_OFT_2!AS42</f>
        <v>1271047.7368212445</v>
      </c>
      <c r="AQ21" s="87">
        <f>Payroll_OFT_2!AT42</f>
        <v>1271047.7368212445</v>
      </c>
      <c r="AR21" s="87">
        <f>Payroll_OFT_2!AU42</f>
        <v>1271047.7368212445</v>
      </c>
      <c r="AS21" s="71"/>
      <c r="AT21" s="71"/>
      <c r="AU21" s="71"/>
      <c r="AV21" s="109"/>
      <c r="AW21" s="71"/>
      <c r="AX21" s="71"/>
    </row>
    <row r="22" spans="1:50" s="71" customFormat="1" ht="21" customHeight="1" collapsed="1">
      <c r="A22" s="98" t="s">
        <v>212</v>
      </c>
      <c r="B22" s="126"/>
      <c r="C22" s="536"/>
      <c r="D22" s="90">
        <f>IFERROR(D18/D8,"")</f>
        <v>3.1803946351339173E-2</v>
      </c>
      <c r="E22" s="90">
        <f t="shared" ref="E22:F22" si="24">IFERROR(E18/E8,"")</f>
        <v>3.2251998904804638E-2</v>
      </c>
      <c r="F22" s="90">
        <f t="shared" si="24"/>
        <v>3.3714184835271645E-2</v>
      </c>
      <c r="G22" s="91">
        <f>E22-D22</f>
        <v>4.480525534654653E-4</v>
      </c>
      <c r="H22" s="91">
        <f>F22-E22</f>
        <v>1.4621859304670068E-3</v>
      </c>
      <c r="I22" s="90">
        <f>IFERROR(I18/I8,"")</f>
        <v>3.2156716308319455E-2</v>
      </c>
      <c r="J22" s="90">
        <f t="shared" ref="J22:AR22" si="25">IFERROR(J18/J8,"")</f>
        <v>3.1904975413177529E-2</v>
      </c>
      <c r="K22" s="90">
        <f t="shared" si="25"/>
        <v>3.1822891489213398E-2</v>
      </c>
      <c r="L22" s="90">
        <f t="shared" si="25"/>
        <v>3.1631638765506391E-2</v>
      </c>
      <c r="M22" s="90">
        <f t="shared" si="25"/>
        <v>3.1952711822980262E-2</v>
      </c>
      <c r="N22" s="90">
        <f t="shared" si="25"/>
        <v>3.1962158836708998E-2</v>
      </c>
      <c r="O22" s="90">
        <f t="shared" si="25"/>
        <v>3.1903934223797913E-2</v>
      </c>
      <c r="P22" s="90">
        <f t="shared" si="25"/>
        <v>3.1903934223797913E-2</v>
      </c>
      <c r="Q22" s="90">
        <f t="shared" si="25"/>
        <v>3.1720143562255027E-2</v>
      </c>
      <c r="R22" s="90">
        <f t="shared" si="25"/>
        <v>3.1720143562255027E-2</v>
      </c>
      <c r="S22" s="90">
        <f t="shared" si="25"/>
        <v>3.1629040030158768E-2</v>
      </c>
      <c r="T22" s="90">
        <f t="shared" si="25"/>
        <v>3.1629040030158768E-2</v>
      </c>
      <c r="U22" s="90">
        <f t="shared" si="25"/>
        <v>3.231029889355154E-2</v>
      </c>
      <c r="V22" s="90">
        <f t="shared" si="25"/>
        <v>3.231029889355154E-2</v>
      </c>
      <c r="W22" s="90">
        <f t="shared" si="25"/>
        <v>3.231029889355154E-2</v>
      </c>
      <c r="X22" s="90">
        <f t="shared" si="25"/>
        <v>3.231029889355154E-2</v>
      </c>
      <c r="Y22" s="90">
        <f t="shared" si="25"/>
        <v>3.231029889355154E-2</v>
      </c>
      <c r="Z22" s="90">
        <f t="shared" si="25"/>
        <v>3.2210484700358796E-2</v>
      </c>
      <c r="AA22" s="90">
        <f t="shared" si="25"/>
        <v>3.2210484700358796E-2</v>
      </c>
      <c r="AB22" s="90">
        <f t="shared" si="25"/>
        <v>3.2210484700358796E-2</v>
      </c>
      <c r="AC22" s="90">
        <f t="shared" si="25"/>
        <v>3.2210484700358796E-2</v>
      </c>
      <c r="AD22" s="90">
        <f t="shared" si="25"/>
        <v>3.2210484700358796E-2</v>
      </c>
      <c r="AE22" s="90">
        <f>IFERROR(AE18/AE8,"")</f>
        <v>3.2210484700358796E-2</v>
      </c>
      <c r="AF22" s="90">
        <f t="shared" si="25"/>
        <v>3.2210484700358796E-2</v>
      </c>
      <c r="AG22" s="90">
        <f t="shared" si="25"/>
        <v>3.2897127890823954E-2</v>
      </c>
      <c r="AH22" s="90">
        <f t="shared" si="25"/>
        <v>3.3790479824494478E-2</v>
      </c>
      <c r="AI22" s="90">
        <f t="shared" si="25"/>
        <v>3.3790479824494478E-2</v>
      </c>
      <c r="AJ22" s="90">
        <f t="shared" si="25"/>
        <v>3.3790479824494478E-2</v>
      </c>
      <c r="AK22" s="90">
        <f t="shared" si="25"/>
        <v>3.3790479824494478E-2</v>
      </c>
      <c r="AL22" s="90">
        <f t="shared" si="25"/>
        <v>3.3790479824494478E-2</v>
      </c>
      <c r="AM22" s="90">
        <f t="shared" si="25"/>
        <v>3.3790479824494478E-2</v>
      </c>
      <c r="AN22" s="90">
        <f t="shared" si="25"/>
        <v>3.3790479824494478E-2</v>
      </c>
      <c r="AO22" s="90">
        <f t="shared" si="25"/>
        <v>3.3790479824494478E-2</v>
      </c>
      <c r="AP22" s="90">
        <f t="shared" si="25"/>
        <v>3.3790479824494478E-2</v>
      </c>
      <c r="AQ22" s="90">
        <f t="shared" si="25"/>
        <v>3.3790479824494478E-2</v>
      </c>
      <c r="AR22" s="90">
        <f t="shared" si="25"/>
        <v>3.3790479824494478E-2</v>
      </c>
      <c r="AV22" s="109"/>
    </row>
    <row r="23" spans="1:50" s="79" customFormat="1" ht="21" customHeight="1">
      <c r="A23" s="96" t="s">
        <v>218</v>
      </c>
      <c r="B23" s="124"/>
      <c r="C23" s="537"/>
      <c r="D23" s="89">
        <f t="shared" ref="D23:D50" si="26">SUMIF($I$7:$AR$7,$D$6,$I23:$AR23)</f>
        <v>17076337.812542308</v>
      </c>
      <c r="E23" s="89">
        <f t="shared" ref="E23:E50" si="27">SUMIF($I$7:$AR$7,$E$6,$I23:$AR23)</f>
        <v>25348895.316351887</v>
      </c>
      <c r="F23" s="89">
        <f t="shared" ref="F23:F50" si="28">SUMIF($I$7:$AR$7,$F$6,$I23:$AR23)</f>
        <v>30363374.548588172</v>
      </c>
      <c r="G23" s="92">
        <f t="shared" ref="G23:H38" si="29">IFERROR(E23/D23-1,0)</f>
        <v>0.48444564605260454</v>
      </c>
      <c r="H23" s="92">
        <f t="shared" si="29"/>
        <v>0.19781845203335457</v>
      </c>
      <c r="I23" s="89">
        <f>I24+I25</f>
        <v>1170327.2750332262</v>
      </c>
      <c r="J23" s="339">
        <f t="shared" ref="J23:AR23" si="30">J24+J25</f>
        <v>1215396.4632241374</v>
      </c>
      <c r="K23" s="339">
        <f t="shared" si="30"/>
        <v>1302009.0678408477</v>
      </c>
      <c r="L23" s="339">
        <f t="shared" si="30"/>
        <v>1348143.361274166</v>
      </c>
      <c r="M23" s="339">
        <f t="shared" si="30"/>
        <v>1430352.4549033826</v>
      </c>
      <c r="N23" s="339">
        <f t="shared" si="30"/>
        <v>1476911.6341506913</v>
      </c>
      <c r="O23" s="339">
        <f t="shared" si="30"/>
        <v>1519690.2980404766</v>
      </c>
      <c r="P23" s="339">
        <f t="shared" si="30"/>
        <v>1519690.2980404766</v>
      </c>
      <c r="Q23" s="339">
        <f t="shared" si="30"/>
        <v>1522701.4516150756</v>
      </c>
      <c r="R23" s="339">
        <f t="shared" si="30"/>
        <v>1522701.4516150756</v>
      </c>
      <c r="S23" s="339">
        <f t="shared" si="30"/>
        <v>1524207.0284023751</v>
      </c>
      <c r="T23" s="339">
        <f t="shared" si="30"/>
        <v>1524207.0284023751</v>
      </c>
      <c r="U23" s="339">
        <f t="shared" si="30"/>
        <v>2110581.176527401</v>
      </c>
      <c r="V23" s="339">
        <f t="shared" si="30"/>
        <v>2110581.176527401</v>
      </c>
      <c r="W23" s="339">
        <f t="shared" si="30"/>
        <v>2110581.176527401</v>
      </c>
      <c r="X23" s="339">
        <f t="shared" si="30"/>
        <v>2110581.176527401</v>
      </c>
      <c r="Y23" s="339">
        <f t="shared" si="30"/>
        <v>2110581.176527401</v>
      </c>
      <c r="Z23" s="339">
        <f t="shared" si="30"/>
        <v>2113712.776244984</v>
      </c>
      <c r="AA23" s="339">
        <f t="shared" si="30"/>
        <v>2113712.776244984</v>
      </c>
      <c r="AB23" s="339">
        <f t="shared" si="30"/>
        <v>2113712.776244984</v>
      </c>
      <c r="AC23" s="339">
        <f t="shared" si="30"/>
        <v>2113712.776244984</v>
      </c>
      <c r="AD23" s="339">
        <f t="shared" si="30"/>
        <v>2113712.776244984</v>
      </c>
      <c r="AE23" s="339">
        <f t="shared" si="30"/>
        <v>2113712.776244984</v>
      </c>
      <c r="AF23" s="339">
        <f t="shared" si="30"/>
        <v>2113712.776244984</v>
      </c>
      <c r="AG23" s="339">
        <f t="shared" si="30"/>
        <v>2563072.6748097306</v>
      </c>
      <c r="AH23" s="339">
        <f t="shared" si="30"/>
        <v>2527300.170343494</v>
      </c>
      <c r="AI23" s="339">
        <f t="shared" si="30"/>
        <v>2527300.170343494</v>
      </c>
      <c r="AJ23" s="339">
        <f t="shared" si="30"/>
        <v>2527300.170343494</v>
      </c>
      <c r="AK23" s="339">
        <f t="shared" si="30"/>
        <v>2527300.170343494</v>
      </c>
      <c r="AL23" s="339">
        <f t="shared" si="30"/>
        <v>2527300.170343494</v>
      </c>
      <c r="AM23" s="339">
        <f t="shared" si="30"/>
        <v>2527300.170343494</v>
      </c>
      <c r="AN23" s="339">
        <f t="shared" si="30"/>
        <v>2527300.170343494</v>
      </c>
      <c r="AO23" s="339">
        <f t="shared" si="30"/>
        <v>2527300.170343494</v>
      </c>
      <c r="AP23" s="339">
        <f t="shared" si="30"/>
        <v>2527300.170343494</v>
      </c>
      <c r="AQ23" s="339">
        <f t="shared" si="30"/>
        <v>2527300.170343494</v>
      </c>
      <c r="AR23" s="339">
        <f t="shared" si="30"/>
        <v>2527300.170343494</v>
      </c>
      <c r="AS23" s="71"/>
      <c r="AT23" s="71"/>
      <c r="AU23" s="71"/>
      <c r="AV23" s="109"/>
      <c r="AW23" s="71"/>
      <c r="AX23" s="71"/>
    </row>
    <row r="24" spans="1:50" s="56" customFormat="1" ht="21" hidden="1" customHeight="1" outlineLevel="1">
      <c r="A24" s="97" t="s">
        <v>219</v>
      </c>
      <c r="B24" s="529"/>
      <c r="C24" s="349">
        <v>1000000</v>
      </c>
      <c r="D24" s="336">
        <f t="shared" si="26"/>
        <v>12000000</v>
      </c>
      <c r="E24" s="87">
        <f t="shared" si="27"/>
        <v>13200000</v>
      </c>
      <c r="F24" s="87">
        <f t="shared" si="28"/>
        <v>14520000</v>
      </c>
      <c r="G24" s="93">
        <f t="shared" si="29"/>
        <v>0.10000000000000009</v>
      </c>
      <c r="H24" s="93">
        <f t="shared" si="29"/>
        <v>0.10000000000000009</v>
      </c>
      <c r="I24" s="87">
        <f>C24</f>
        <v>1000000</v>
      </c>
      <c r="J24" s="87">
        <f t="shared" ref="J24:Y24" si="31">I24</f>
        <v>1000000</v>
      </c>
      <c r="K24" s="87">
        <f t="shared" si="31"/>
        <v>1000000</v>
      </c>
      <c r="L24" s="87">
        <f t="shared" si="31"/>
        <v>1000000</v>
      </c>
      <c r="M24" s="87">
        <f t="shared" si="31"/>
        <v>1000000</v>
      </c>
      <c r="N24" s="87">
        <f t="shared" si="31"/>
        <v>1000000</v>
      </c>
      <c r="O24" s="87">
        <f t="shared" si="31"/>
        <v>1000000</v>
      </c>
      <c r="P24" s="87">
        <f t="shared" si="31"/>
        <v>1000000</v>
      </c>
      <c r="Q24" s="87">
        <f t="shared" si="31"/>
        <v>1000000</v>
      </c>
      <c r="R24" s="87">
        <f t="shared" si="31"/>
        <v>1000000</v>
      </c>
      <c r="S24" s="87">
        <f t="shared" si="31"/>
        <v>1000000</v>
      </c>
      <c r="T24" s="87">
        <f t="shared" si="31"/>
        <v>1000000</v>
      </c>
      <c r="U24" s="87">
        <f>T24*(1+$B$3)</f>
        <v>1100000</v>
      </c>
      <c r="V24" s="87">
        <f t="shared" si="31"/>
        <v>1100000</v>
      </c>
      <c r="W24" s="87">
        <f t="shared" si="31"/>
        <v>1100000</v>
      </c>
      <c r="X24" s="87">
        <f t="shared" si="31"/>
        <v>1100000</v>
      </c>
      <c r="Y24" s="87">
        <f t="shared" si="31"/>
        <v>1100000</v>
      </c>
      <c r="Z24" s="87">
        <f t="shared" ref="Z24:AO24" si="32">Y24</f>
        <v>1100000</v>
      </c>
      <c r="AA24" s="87">
        <f t="shared" si="32"/>
        <v>1100000</v>
      </c>
      <c r="AB24" s="87">
        <f t="shared" si="32"/>
        <v>1100000</v>
      </c>
      <c r="AC24" s="87">
        <f t="shared" si="32"/>
        <v>1100000</v>
      </c>
      <c r="AD24" s="87">
        <f t="shared" si="32"/>
        <v>1100000</v>
      </c>
      <c r="AE24" s="87">
        <f t="shared" si="32"/>
        <v>1100000</v>
      </c>
      <c r="AF24" s="87">
        <f t="shared" si="32"/>
        <v>1100000</v>
      </c>
      <c r="AG24" s="87">
        <f>AF24*(1+$C$3)</f>
        <v>1210000</v>
      </c>
      <c r="AH24" s="87">
        <f t="shared" si="32"/>
        <v>1210000</v>
      </c>
      <c r="AI24" s="87">
        <f t="shared" si="32"/>
        <v>1210000</v>
      </c>
      <c r="AJ24" s="87">
        <f t="shared" si="32"/>
        <v>1210000</v>
      </c>
      <c r="AK24" s="87">
        <f t="shared" si="32"/>
        <v>1210000</v>
      </c>
      <c r="AL24" s="87">
        <f t="shared" si="32"/>
        <v>1210000</v>
      </c>
      <c r="AM24" s="87">
        <f t="shared" si="32"/>
        <v>1210000</v>
      </c>
      <c r="AN24" s="87">
        <f t="shared" si="32"/>
        <v>1210000</v>
      </c>
      <c r="AO24" s="87">
        <f t="shared" si="32"/>
        <v>1210000</v>
      </c>
      <c r="AP24" s="87">
        <f t="shared" ref="AP24:AR24" si="33">AO24</f>
        <v>1210000</v>
      </c>
      <c r="AQ24" s="87">
        <f t="shared" si="33"/>
        <v>1210000</v>
      </c>
      <c r="AR24" s="87">
        <f t="shared" si="33"/>
        <v>1210000</v>
      </c>
      <c r="AS24" s="71"/>
      <c r="AT24" s="71"/>
      <c r="AU24" s="384" t="s">
        <v>354</v>
      </c>
      <c r="AV24" s="109">
        <f>SUMIF('Сравнение Рх показателей'!A:A,'PL OFT_2'!AU24,'Сравнение Рх показателей'!C:C)-D24</f>
        <v>0</v>
      </c>
      <c r="AW24" s="71"/>
      <c r="AX24" s="71"/>
    </row>
    <row r="25" spans="1:50" s="56" customFormat="1" ht="20.25" hidden="1" customHeight="1" outlineLevel="1">
      <c r="A25" s="97" t="s">
        <v>336</v>
      </c>
      <c r="B25" s="120">
        <f>95664089.58/435287531.8</f>
        <v>0.21977217951639935</v>
      </c>
      <c r="C25" s="547">
        <v>9.7000000000000003E-2</v>
      </c>
      <c r="D25" s="336">
        <f t="shared" si="26"/>
        <v>5076337.8125423063</v>
      </c>
      <c r="E25" s="87">
        <f t="shared" si="27"/>
        <v>12148895.316351896</v>
      </c>
      <c r="F25" s="87">
        <f t="shared" si="28"/>
        <v>15843374.548588164</v>
      </c>
      <c r="G25" s="93">
        <f t="shared" si="29"/>
        <v>1.3932401201384086</v>
      </c>
      <c r="H25" s="93">
        <f t="shared" si="29"/>
        <v>0.30410001370772011</v>
      </c>
      <c r="I25" s="87">
        <f>$B$25*I8*$C$25+($B$25*I8*$C$25)*13%</f>
        <v>170327.27503322624</v>
      </c>
      <c r="J25" s="336">
        <f t="shared" ref="J25:AR25" si="34">$B$25*J8*$C$25+($B$25*J8*$C$25)*13%</f>
        <v>215396.46322413749</v>
      </c>
      <c r="K25" s="336">
        <f t="shared" si="34"/>
        <v>302009.06784084765</v>
      </c>
      <c r="L25" s="336">
        <f t="shared" si="34"/>
        <v>348143.36127416615</v>
      </c>
      <c r="M25" s="336">
        <f t="shared" si="34"/>
        <v>430352.45490338258</v>
      </c>
      <c r="N25" s="336">
        <f t="shared" si="34"/>
        <v>476911.63415069127</v>
      </c>
      <c r="O25" s="336">
        <f t="shared" si="34"/>
        <v>519690.29804047657</v>
      </c>
      <c r="P25" s="336">
        <f t="shared" si="34"/>
        <v>519690.29804047657</v>
      </c>
      <c r="Q25" s="336">
        <f t="shared" si="34"/>
        <v>522701.45161507558</v>
      </c>
      <c r="R25" s="336">
        <f t="shared" si="34"/>
        <v>522701.45161507558</v>
      </c>
      <c r="S25" s="336">
        <f t="shared" si="34"/>
        <v>524207.02840237517</v>
      </c>
      <c r="T25" s="336">
        <f t="shared" si="34"/>
        <v>524207.02840237517</v>
      </c>
      <c r="U25" s="336">
        <f t="shared" si="34"/>
        <v>1010581.1765274011</v>
      </c>
      <c r="V25" s="336">
        <f t="shared" si="34"/>
        <v>1010581.1765274011</v>
      </c>
      <c r="W25" s="336">
        <f t="shared" si="34"/>
        <v>1010581.1765274011</v>
      </c>
      <c r="X25" s="336">
        <f t="shared" si="34"/>
        <v>1010581.1765274011</v>
      </c>
      <c r="Y25" s="336">
        <f t="shared" si="34"/>
        <v>1010581.1765274011</v>
      </c>
      <c r="Z25" s="336">
        <f t="shared" si="34"/>
        <v>1013712.7762449842</v>
      </c>
      <c r="AA25" s="336">
        <f t="shared" si="34"/>
        <v>1013712.7762449842</v>
      </c>
      <c r="AB25" s="336">
        <f t="shared" si="34"/>
        <v>1013712.7762449842</v>
      </c>
      <c r="AC25" s="336">
        <f t="shared" si="34"/>
        <v>1013712.7762449842</v>
      </c>
      <c r="AD25" s="336">
        <f t="shared" si="34"/>
        <v>1013712.7762449842</v>
      </c>
      <c r="AE25" s="336">
        <f t="shared" si="34"/>
        <v>1013712.7762449842</v>
      </c>
      <c r="AF25" s="336">
        <f t="shared" si="34"/>
        <v>1013712.7762449842</v>
      </c>
      <c r="AG25" s="336">
        <f t="shared" si="34"/>
        <v>1353072.6748097306</v>
      </c>
      <c r="AH25" s="336">
        <f t="shared" si="34"/>
        <v>1317300.1703434938</v>
      </c>
      <c r="AI25" s="336">
        <f t="shared" si="34"/>
        <v>1317300.1703434938</v>
      </c>
      <c r="AJ25" s="336">
        <f t="shared" si="34"/>
        <v>1317300.1703434938</v>
      </c>
      <c r="AK25" s="336">
        <f t="shared" si="34"/>
        <v>1317300.1703434938</v>
      </c>
      <c r="AL25" s="336">
        <f t="shared" si="34"/>
        <v>1317300.1703434938</v>
      </c>
      <c r="AM25" s="336">
        <f t="shared" si="34"/>
        <v>1317300.1703434938</v>
      </c>
      <c r="AN25" s="336">
        <f t="shared" si="34"/>
        <v>1317300.1703434938</v>
      </c>
      <c r="AO25" s="336">
        <f t="shared" si="34"/>
        <v>1317300.1703434938</v>
      </c>
      <c r="AP25" s="336">
        <f t="shared" si="34"/>
        <v>1317300.1703434938</v>
      </c>
      <c r="AQ25" s="336">
        <f t="shared" si="34"/>
        <v>1317300.1703434938</v>
      </c>
      <c r="AR25" s="336">
        <f t="shared" si="34"/>
        <v>1317300.1703434938</v>
      </c>
      <c r="AS25" s="71"/>
      <c r="AT25" s="71"/>
      <c r="AU25" s="395" t="s">
        <v>349</v>
      </c>
      <c r="AV25" s="109">
        <f>SUMIF('Сравнение Рх показателей'!A:A,'PL OFT_2'!AU25,'Сравнение Рх показателей'!C:C)-D25</f>
        <v>0</v>
      </c>
      <c r="AW25" s="71"/>
      <c r="AX25" s="71"/>
    </row>
    <row r="26" spans="1:50" s="79" customFormat="1" ht="21" customHeight="1" collapsed="1">
      <c r="A26" s="96" t="s">
        <v>221</v>
      </c>
      <c r="B26" s="124"/>
      <c r="C26" s="164"/>
      <c r="D26" s="89" t="e">
        <f t="shared" si="26"/>
        <v>#REF!</v>
      </c>
      <c r="E26" s="89" t="e">
        <f t="shared" si="27"/>
        <v>#REF!</v>
      </c>
      <c r="F26" s="89" t="e">
        <f t="shared" si="28"/>
        <v>#REF!</v>
      </c>
      <c r="G26" s="92">
        <f t="shared" si="29"/>
        <v>0</v>
      </c>
      <c r="H26" s="92">
        <f t="shared" si="29"/>
        <v>0</v>
      </c>
      <c r="I26" s="89" t="e">
        <f>SUM(I27,I30:I31,I34:I43,I49:I51)</f>
        <v>#REF!</v>
      </c>
      <c r="J26" s="339" t="e">
        <f t="shared" ref="J26:AR26" si="35">SUM(J27,J30,J31,J34:J43,J49:J51)</f>
        <v>#REF!</v>
      </c>
      <c r="K26" s="339" t="e">
        <f t="shared" si="35"/>
        <v>#REF!</v>
      </c>
      <c r="L26" s="339" t="e">
        <f t="shared" si="35"/>
        <v>#REF!</v>
      </c>
      <c r="M26" s="339" t="e">
        <f t="shared" si="35"/>
        <v>#REF!</v>
      </c>
      <c r="N26" s="339" t="e">
        <f t="shared" si="35"/>
        <v>#REF!</v>
      </c>
      <c r="O26" s="339" t="e">
        <f t="shared" si="35"/>
        <v>#REF!</v>
      </c>
      <c r="P26" s="339" t="e">
        <f t="shared" si="35"/>
        <v>#REF!</v>
      </c>
      <c r="Q26" s="339" t="e">
        <f t="shared" si="35"/>
        <v>#REF!</v>
      </c>
      <c r="R26" s="339" t="e">
        <f t="shared" si="35"/>
        <v>#REF!</v>
      </c>
      <c r="S26" s="339" t="e">
        <f t="shared" si="35"/>
        <v>#REF!</v>
      </c>
      <c r="T26" s="339" t="e">
        <f t="shared" si="35"/>
        <v>#REF!</v>
      </c>
      <c r="U26" s="339" t="e">
        <f t="shared" si="35"/>
        <v>#REF!</v>
      </c>
      <c r="V26" s="339" t="e">
        <f t="shared" si="35"/>
        <v>#REF!</v>
      </c>
      <c r="W26" s="339" t="e">
        <f t="shared" si="35"/>
        <v>#REF!</v>
      </c>
      <c r="X26" s="339" t="e">
        <f t="shared" si="35"/>
        <v>#REF!</v>
      </c>
      <c r="Y26" s="339" t="e">
        <f t="shared" si="35"/>
        <v>#REF!</v>
      </c>
      <c r="Z26" s="339" t="e">
        <f t="shared" si="35"/>
        <v>#REF!</v>
      </c>
      <c r="AA26" s="339" t="e">
        <f t="shared" si="35"/>
        <v>#REF!</v>
      </c>
      <c r="AB26" s="339" t="e">
        <f t="shared" si="35"/>
        <v>#REF!</v>
      </c>
      <c r="AC26" s="339" t="e">
        <f t="shared" si="35"/>
        <v>#REF!</v>
      </c>
      <c r="AD26" s="339" t="e">
        <f t="shared" si="35"/>
        <v>#REF!</v>
      </c>
      <c r="AE26" s="339" t="e">
        <f t="shared" si="35"/>
        <v>#REF!</v>
      </c>
      <c r="AF26" s="339" t="e">
        <f t="shared" si="35"/>
        <v>#REF!</v>
      </c>
      <c r="AG26" s="339" t="e">
        <f t="shared" si="35"/>
        <v>#REF!</v>
      </c>
      <c r="AH26" s="339" t="e">
        <f t="shared" si="35"/>
        <v>#REF!</v>
      </c>
      <c r="AI26" s="339" t="e">
        <f t="shared" si="35"/>
        <v>#REF!</v>
      </c>
      <c r="AJ26" s="339" t="e">
        <f t="shared" si="35"/>
        <v>#REF!</v>
      </c>
      <c r="AK26" s="339" t="e">
        <f t="shared" si="35"/>
        <v>#REF!</v>
      </c>
      <c r="AL26" s="339" t="e">
        <f t="shared" si="35"/>
        <v>#REF!</v>
      </c>
      <c r="AM26" s="339" t="e">
        <f t="shared" si="35"/>
        <v>#REF!</v>
      </c>
      <c r="AN26" s="339" t="e">
        <f t="shared" si="35"/>
        <v>#REF!</v>
      </c>
      <c r="AO26" s="339" t="e">
        <f t="shared" si="35"/>
        <v>#REF!</v>
      </c>
      <c r="AP26" s="339" t="e">
        <f t="shared" si="35"/>
        <v>#REF!</v>
      </c>
      <c r="AQ26" s="339" t="e">
        <f t="shared" si="35"/>
        <v>#REF!</v>
      </c>
      <c r="AR26" s="339" t="e">
        <f t="shared" si="35"/>
        <v>#REF!</v>
      </c>
      <c r="AS26" s="71"/>
      <c r="AT26" s="71"/>
      <c r="AU26" s="71"/>
      <c r="AV26" s="109"/>
      <c r="AW26" s="71"/>
      <c r="AX26" s="71"/>
    </row>
    <row r="27" spans="1:50" s="56" customFormat="1" ht="21" hidden="1" customHeight="1" outlineLevel="1">
      <c r="A27" s="97" t="s">
        <v>3</v>
      </c>
      <c r="B27" s="125"/>
      <c r="C27" s="348">
        <f>C28*C29</f>
        <v>6016000</v>
      </c>
      <c r="D27" s="336">
        <f t="shared" si="26"/>
        <v>72192000</v>
      </c>
      <c r="E27" s="87">
        <f t="shared" si="27"/>
        <v>79411200.000000015</v>
      </c>
      <c r="F27" s="87">
        <f t="shared" si="28"/>
        <v>87352320.000000015</v>
      </c>
      <c r="G27" s="93">
        <f t="shared" si="29"/>
        <v>0.10000000000000031</v>
      </c>
      <c r="H27" s="93">
        <f t="shared" si="29"/>
        <v>0.10000000000000009</v>
      </c>
      <c r="I27" s="336">
        <f>C28*C29</f>
        <v>6016000</v>
      </c>
      <c r="J27" s="87">
        <f>I27</f>
        <v>6016000</v>
      </c>
      <c r="K27" s="87">
        <f t="shared" ref="K27:AR27" si="36">J27</f>
        <v>6016000</v>
      </c>
      <c r="L27" s="87">
        <f t="shared" si="36"/>
        <v>6016000</v>
      </c>
      <c r="M27" s="87">
        <f t="shared" si="36"/>
        <v>6016000</v>
      </c>
      <c r="N27" s="87">
        <f t="shared" si="36"/>
        <v>6016000</v>
      </c>
      <c r="O27" s="87">
        <f t="shared" si="36"/>
        <v>6016000</v>
      </c>
      <c r="P27" s="87">
        <f t="shared" si="36"/>
        <v>6016000</v>
      </c>
      <c r="Q27" s="87">
        <f t="shared" si="36"/>
        <v>6016000</v>
      </c>
      <c r="R27" s="87">
        <f t="shared" si="36"/>
        <v>6016000</v>
      </c>
      <c r="S27" s="336">
        <f t="shared" ref="S27" si="37">R27</f>
        <v>6016000</v>
      </c>
      <c r="T27" s="336">
        <f t="shared" ref="T27" si="38">S27</f>
        <v>6016000</v>
      </c>
      <c r="U27" s="87">
        <f>T27*(1+$B$3)</f>
        <v>6617600.0000000009</v>
      </c>
      <c r="V27" s="87">
        <f t="shared" ref="V27:AF27" si="39">U27</f>
        <v>6617600.0000000009</v>
      </c>
      <c r="W27" s="87">
        <f t="shared" si="39"/>
        <v>6617600.0000000009</v>
      </c>
      <c r="X27" s="87">
        <f t="shared" si="39"/>
        <v>6617600.0000000009</v>
      </c>
      <c r="Y27" s="87">
        <f t="shared" si="39"/>
        <v>6617600.0000000009</v>
      </c>
      <c r="Z27" s="87">
        <f t="shared" si="39"/>
        <v>6617600.0000000009</v>
      </c>
      <c r="AA27" s="87">
        <f t="shared" si="39"/>
        <v>6617600.0000000009</v>
      </c>
      <c r="AB27" s="87">
        <f t="shared" si="39"/>
        <v>6617600.0000000009</v>
      </c>
      <c r="AC27" s="87">
        <f t="shared" si="39"/>
        <v>6617600.0000000009</v>
      </c>
      <c r="AD27" s="87">
        <f t="shared" si="39"/>
        <v>6617600.0000000009</v>
      </c>
      <c r="AE27" s="87">
        <f t="shared" si="39"/>
        <v>6617600.0000000009</v>
      </c>
      <c r="AF27" s="87">
        <f t="shared" si="39"/>
        <v>6617600.0000000009</v>
      </c>
      <c r="AG27" s="87">
        <f>AF27*(1+$C$3)</f>
        <v>7279360.0000000019</v>
      </c>
      <c r="AH27" s="87">
        <f t="shared" si="36"/>
        <v>7279360.0000000019</v>
      </c>
      <c r="AI27" s="87">
        <f t="shared" si="36"/>
        <v>7279360.0000000019</v>
      </c>
      <c r="AJ27" s="87">
        <f t="shared" si="36"/>
        <v>7279360.0000000019</v>
      </c>
      <c r="AK27" s="87">
        <f t="shared" si="36"/>
        <v>7279360.0000000019</v>
      </c>
      <c r="AL27" s="87">
        <f t="shared" si="36"/>
        <v>7279360.0000000019</v>
      </c>
      <c r="AM27" s="87">
        <f t="shared" si="36"/>
        <v>7279360.0000000019</v>
      </c>
      <c r="AN27" s="87">
        <f t="shared" si="36"/>
        <v>7279360.0000000019</v>
      </c>
      <c r="AO27" s="87">
        <f t="shared" si="36"/>
        <v>7279360.0000000019</v>
      </c>
      <c r="AP27" s="87">
        <f t="shared" si="36"/>
        <v>7279360.0000000019</v>
      </c>
      <c r="AQ27" s="87">
        <f t="shared" si="36"/>
        <v>7279360.0000000019</v>
      </c>
      <c r="AR27" s="87">
        <f t="shared" si="36"/>
        <v>7279360.0000000019</v>
      </c>
      <c r="AS27" s="71"/>
      <c r="AT27" s="71"/>
      <c r="AU27" s="384" t="s">
        <v>353</v>
      </c>
      <c r="AV27" s="109">
        <f>SUMIF('Сравнение Рх показателей'!A:A,'PL OFT_2'!AU27,'Сравнение Рх показателей'!C:C)-D27-D30-D31</f>
        <v>0</v>
      </c>
      <c r="AW27" s="71"/>
      <c r="AX27" s="71"/>
    </row>
    <row r="28" spans="1:50" s="56" customFormat="1" ht="21" hidden="1" customHeight="1" outlineLevel="2">
      <c r="A28" s="95" t="s">
        <v>36</v>
      </c>
      <c r="B28" s="125"/>
      <c r="C28" s="348">
        <f>B5</f>
        <v>1504</v>
      </c>
      <c r="D28" s="87">
        <f t="shared" si="26"/>
        <v>0</v>
      </c>
      <c r="E28" s="87">
        <f t="shared" si="27"/>
        <v>0</v>
      </c>
      <c r="F28" s="87">
        <f t="shared" si="28"/>
        <v>0</v>
      </c>
      <c r="G28" s="93">
        <f t="shared" si="29"/>
        <v>0</v>
      </c>
      <c r="H28" s="93">
        <f t="shared" si="29"/>
        <v>0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71"/>
      <c r="AT28" s="71"/>
      <c r="AU28" s="71"/>
      <c r="AV28" s="109"/>
      <c r="AW28" s="71"/>
      <c r="AX28" s="71"/>
    </row>
    <row r="29" spans="1:50" s="56" customFormat="1" ht="21" hidden="1" customHeight="1" outlineLevel="2">
      <c r="A29" s="95" t="s">
        <v>37</v>
      </c>
      <c r="B29" s="125"/>
      <c r="C29" s="348">
        <v>4000</v>
      </c>
      <c r="D29" s="87">
        <f t="shared" si="26"/>
        <v>0</v>
      </c>
      <c r="E29" s="87">
        <f t="shared" si="27"/>
        <v>0</v>
      </c>
      <c r="F29" s="87">
        <f t="shared" si="28"/>
        <v>0</v>
      </c>
      <c r="G29" s="93">
        <f t="shared" si="29"/>
        <v>0</v>
      </c>
      <c r="H29" s="93">
        <f t="shared" si="29"/>
        <v>0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71"/>
      <c r="AT29" s="71"/>
      <c r="AU29" s="71"/>
      <c r="AV29" s="109"/>
      <c r="AW29" s="71"/>
      <c r="AX29" s="71"/>
    </row>
    <row r="30" spans="1:50" s="56" customFormat="1" ht="21" hidden="1" customHeight="1" outlineLevel="1">
      <c r="A30" s="97" t="s">
        <v>4</v>
      </c>
      <c r="B30" s="531"/>
      <c r="C30" s="348">
        <f>B59</f>
        <v>263.19629487947128</v>
      </c>
      <c r="D30" s="336">
        <f t="shared" si="26"/>
        <v>4750166.7299846988</v>
      </c>
      <c r="E30" s="336">
        <f t="shared" si="27"/>
        <v>5225183.4029831672</v>
      </c>
      <c r="F30" s="336">
        <f t="shared" si="28"/>
        <v>5747701.7432814864</v>
      </c>
      <c r="G30" s="93">
        <f t="shared" si="29"/>
        <v>9.9999999999999645E-2</v>
      </c>
      <c r="H30" s="93">
        <f t="shared" si="29"/>
        <v>0.10000000000000053</v>
      </c>
      <c r="I30" s="87">
        <f>C28*C30</f>
        <v>395847.22749872482</v>
      </c>
      <c r="J30" s="87">
        <f t="shared" ref="J30:Y36" si="40">I30</f>
        <v>395847.22749872482</v>
      </c>
      <c r="K30" s="87">
        <f t="shared" si="40"/>
        <v>395847.22749872482</v>
      </c>
      <c r="L30" s="87">
        <f t="shared" si="40"/>
        <v>395847.22749872482</v>
      </c>
      <c r="M30" s="87">
        <f t="shared" si="40"/>
        <v>395847.22749872482</v>
      </c>
      <c r="N30" s="87">
        <f t="shared" si="40"/>
        <v>395847.22749872482</v>
      </c>
      <c r="O30" s="87">
        <f t="shared" si="40"/>
        <v>395847.22749872482</v>
      </c>
      <c r="P30" s="87">
        <f t="shared" si="40"/>
        <v>395847.22749872482</v>
      </c>
      <c r="Q30" s="87">
        <f t="shared" si="40"/>
        <v>395847.22749872482</v>
      </c>
      <c r="R30" s="87">
        <f t="shared" si="40"/>
        <v>395847.22749872482</v>
      </c>
      <c r="S30" s="87">
        <f t="shared" si="40"/>
        <v>395847.22749872482</v>
      </c>
      <c r="T30" s="87">
        <f t="shared" si="40"/>
        <v>395847.22749872482</v>
      </c>
      <c r="U30" s="87">
        <f>T30*(1+$B$3)</f>
        <v>435431.95024859736</v>
      </c>
      <c r="V30" s="87">
        <f t="shared" si="40"/>
        <v>435431.95024859736</v>
      </c>
      <c r="W30" s="87">
        <f t="shared" si="40"/>
        <v>435431.95024859736</v>
      </c>
      <c r="X30" s="87">
        <f t="shared" si="40"/>
        <v>435431.95024859736</v>
      </c>
      <c r="Y30" s="87">
        <f t="shared" si="40"/>
        <v>435431.95024859736</v>
      </c>
      <c r="Z30" s="87">
        <f t="shared" ref="Z30:AR30" si="41">Y30</f>
        <v>435431.95024859736</v>
      </c>
      <c r="AA30" s="87">
        <f t="shared" si="41"/>
        <v>435431.95024859736</v>
      </c>
      <c r="AB30" s="87">
        <f t="shared" si="41"/>
        <v>435431.95024859736</v>
      </c>
      <c r="AC30" s="87">
        <f t="shared" si="41"/>
        <v>435431.95024859736</v>
      </c>
      <c r="AD30" s="87">
        <f t="shared" si="41"/>
        <v>435431.95024859736</v>
      </c>
      <c r="AE30" s="87">
        <f t="shared" si="41"/>
        <v>435431.95024859736</v>
      </c>
      <c r="AF30" s="87">
        <f t="shared" si="41"/>
        <v>435431.95024859736</v>
      </c>
      <c r="AG30" s="87">
        <f>AF30*(1+$C$3)</f>
        <v>478975.14527345716</v>
      </c>
      <c r="AH30" s="87">
        <f t="shared" si="41"/>
        <v>478975.14527345716</v>
      </c>
      <c r="AI30" s="87">
        <f t="shared" si="41"/>
        <v>478975.14527345716</v>
      </c>
      <c r="AJ30" s="87">
        <f t="shared" si="41"/>
        <v>478975.14527345716</v>
      </c>
      <c r="AK30" s="87">
        <f t="shared" si="41"/>
        <v>478975.14527345716</v>
      </c>
      <c r="AL30" s="87">
        <f t="shared" si="41"/>
        <v>478975.14527345716</v>
      </c>
      <c r="AM30" s="87">
        <f t="shared" si="41"/>
        <v>478975.14527345716</v>
      </c>
      <c r="AN30" s="87">
        <f t="shared" si="41"/>
        <v>478975.14527345716</v>
      </c>
      <c r="AO30" s="87">
        <f t="shared" si="41"/>
        <v>478975.14527345716</v>
      </c>
      <c r="AP30" s="87">
        <f t="shared" si="41"/>
        <v>478975.14527345716</v>
      </c>
      <c r="AQ30" s="87">
        <f t="shared" si="41"/>
        <v>478975.14527345716</v>
      </c>
      <c r="AR30" s="87">
        <f t="shared" si="41"/>
        <v>478975.14527345716</v>
      </c>
      <c r="AS30" s="71"/>
      <c r="AT30" s="71"/>
      <c r="AU30" s="384" t="s">
        <v>353</v>
      </c>
      <c r="AV30" s="109"/>
      <c r="AW30" s="71"/>
      <c r="AX30" s="71"/>
    </row>
    <row r="31" spans="1:50" s="56" customFormat="1" ht="21" hidden="1" customHeight="1" outlineLevel="1">
      <c r="A31" s="97" t="s">
        <v>5</v>
      </c>
      <c r="B31" s="527"/>
      <c r="C31" s="348"/>
      <c r="D31" s="336">
        <f t="shared" si="26"/>
        <v>2670480</v>
      </c>
      <c r="E31" s="336">
        <f t="shared" si="27"/>
        <v>2937528.0000000005</v>
      </c>
      <c r="F31" s="336">
        <f t="shared" si="28"/>
        <v>3231280.8000000003</v>
      </c>
      <c r="G31" s="93">
        <f t="shared" si="29"/>
        <v>0.10000000000000009</v>
      </c>
      <c r="H31" s="93">
        <f t="shared" si="29"/>
        <v>9.9999999999999867E-2</v>
      </c>
      <c r="I31" s="87">
        <f>SUM(I32:I33)</f>
        <v>222540</v>
      </c>
      <c r="J31" s="336">
        <f t="shared" ref="J31:AR31" si="42">SUM(J32:J33)</f>
        <v>222540</v>
      </c>
      <c r="K31" s="336">
        <f t="shared" si="42"/>
        <v>222540</v>
      </c>
      <c r="L31" s="336">
        <f t="shared" si="42"/>
        <v>222540</v>
      </c>
      <c r="M31" s="336">
        <f t="shared" si="42"/>
        <v>222540</v>
      </c>
      <c r="N31" s="336">
        <f t="shared" si="42"/>
        <v>222540</v>
      </c>
      <c r="O31" s="336">
        <f t="shared" si="42"/>
        <v>222540</v>
      </c>
      <c r="P31" s="336">
        <f t="shared" si="42"/>
        <v>222540</v>
      </c>
      <c r="Q31" s="336">
        <f t="shared" si="42"/>
        <v>222540</v>
      </c>
      <c r="R31" s="336">
        <f t="shared" si="42"/>
        <v>222540</v>
      </c>
      <c r="S31" s="336">
        <f t="shared" si="42"/>
        <v>222540</v>
      </c>
      <c r="T31" s="336">
        <f t="shared" si="42"/>
        <v>222540</v>
      </c>
      <c r="U31" s="336">
        <f t="shared" si="42"/>
        <v>244794.00000000003</v>
      </c>
      <c r="V31" s="336">
        <f t="shared" si="42"/>
        <v>244794.00000000003</v>
      </c>
      <c r="W31" s="336">
        <f t="shared" si="42"/>
        <v>244794.00000000003</v>
      </c>
      <c r="X31" s="336">
        <f t="shared" si="42"/>
        <v>244794.00000000003</v>
      </c>
      <c r="Y31" s="336">
        <f t="shared" si="42"/>
        <v>244794.00000000003</v>
      </c>
      <c r="Z31" s="336">
        <f t="shared" si="42"/>
        <v>244794.00000000003</v>
      </c>
      <c r="AA31" s="336">
        <f t="shared" si="42"/>
        <v>244794.00000000003</v>
      </c>
      <c r="AB31" s="336">
        <f t="shared" si="42"/>
        <v>244794.00000000003</v>
      </c>
      <c r="AC31" s="336">
        <f t="shared" si="42"/>
        <v>244794.00000000003</v>
      </c>
      <c r="AD31" s="336">
        <f t="shared" si="42"/>
        <v>244794.00000000003</v>
      </c>
      <c r="AE31" s="336">
        <f t="shared" si="42"/>
        <v>244794.00000000003</v>
      </c>
      <c r="AF31" s="336">
        <f t="shared" si="42"/>
        <v>244794.00000000003</v>
      </c>
      <c r="AG31" s="336">
        <f t="shared" si="42"/>
        <v>269273.40000000008</v>
      </c>
      <c r="AH31" s="336">
        <f t="shared" si="42"/>
        <v>269273.40000000008</v>
      </c>
      <c r="AI31" s="336">
        <f t="shared" si="42"/>
        <v>269273.40000000008</v>
      </c>
      <c r="AJ31" s="336">
        <f t="shared" si="42"/>
        <v>269273.40000000008</v>
      </c>
      <c r="AK31" s="336">
        <f t="shared" si="42"/>
        <v>269273.40000000008</v>
      </c>
      <c r="AL31" s="336">
        <f t="shared" si="42"/>
        <v>269273.40000000008</v>
      </c>
      <c r="AM31" s="336">
        <f t="shared" si="42"/>
        <v>269273.40000000008</v>
      </c>
      <c r="AN31" s="336">
        <f t="shared" si="42"/>
        <v>269273.40000000008</v>
      </c>
      <c r="AO31" s="336">
        <f t="shared" si="42"/>
        <v>269273.40000000008</v>
      </c>
      <c r="AP31" s="336">
        <f t="shared" si="42"/>
        <v>269273.40000000008</v>
      </c>
      <c r="AQ31" s="336">
        <f t="shared" si="42"/>
        <v>269273.40000000008</v>
      </c>
      <c r="AR31" s="336">
        <f t="shared" si="42"/>
        <v>269273.40000000008</v>
      </c>
      <c r="AS31" s="71"/>
      <c r="AT31" s="71"/>
      <c r="AU31" s="384" t="s">
        <v>353</v>
      </c>
      <c r="AV31" s="109"/>
      <c r="AW31" s="71"/>
      <c r="AX31" s="71"/>
    </row>
    <row r="32" spans="1:50" s="56" customFormat="1" ht="21" hidden="1" customHeight="1" outlineLevel="2">
      <c r="A32" s="95" t="s">
        <v>34</v>
      </c>
      <c r="B32" s="529"/>
      <c r="C32" s="348">
        <v>222540</v>
      </c>
      <c r="D32" s="336">
        <f t="shared" si="26"/>
        <v>2670480</v>
      </c>
      <c r="E32" s="336">
        <f t="shared" si="27"/>
        <v>2937528.0000000005</v>
      </c>
      <c r="F32" s="336">
        <f t="shared" si="28"/>
        <v>3231280.8000000003</v>
      </c>
      <c r="G32" s="93">
        <f t="shared" si="29"/>
        <v>0.10000000000000009</v>
      </c>
      <c r="H32" s="93">
        <f t="shared" si="29"/>
        <v>9.9999999999999867E-2</v>
      </c>
      <c r="I32" s="87">
        <f>C32</f>
        <v>222540</v>
      </c>
      <c r="J32" s="87">
        <f t="shared" si="40"/>
        <v>222540</v>
      </c>
      <c r="K32" s="87">
        <f t="shared" si="40"/>
        <v>222540</v>
      </c>
      <c r="L32" s="87">
        <f t="shared" si="40"/>
        <v>222540</v>
      </c>
      <c r="M32" s="87">
        <f t="shared" si="40"/>
        <v>222540</v>
      </c>
      <c r="N32" s="87">
        <f t="shared" si="40"/>
        <v>222540</v>
      </c>
      <c r="O32" s="87">
        <f t="shared" si="40"/>
        <v>222540</v>
      </c>
      <c r="P32" s="87">
        <f t="shared" si="40"/>
        <v>222540</v>
      </c>
      <c r="Q32" s="87">
        <f t="shared" si="40"/>
        <v>222540</v>
      </c>
      <c r="R32" s="87">
        <f t="shared" si="40"/>
        <v>222540</v>
      </c>
      <c r="S32" s="87">
        <f t="shared" si="40"/>
        <v>222540</v>
      </c>
      <c r="T32" s="87">
        <f t="shared" si="40"/>
        <v>222540</v>
      </c>
      <c r="U32" s="87">
        <f t="shared" ref="U32:U42" si="43">T32*(1+$B$3)</f>
        <v>244794.00000000003</v>
      </c>
      <c r="V32" s="87">
        <f t="shared" si="40"/>
        <v>244794.00000000003</v>
      </c>
      <c r="W32" s="87">
        <f t="shared" si="40"/>
        <v>244794.00000000003</v>
      </c>
      <c r="X32" s="87">
        <f t="shared" si="40"/>
        <v>244794.00000000003</v>
      </c>
      <c r="Y32" s="87">
        <f t="shared" si="40"/>
        <v>244794.00000000003</v>
      </c>
      <c r="Z32" s="87">
        <f t="shared" ref="Z32:AR36" si="44">Y32</f>
        <v>244794.00000000003</v>
      </c>
      <c r="AA32" s="87">
        <f t="shared" si="44"/>
        <v>244794.00000000003</v>
      </c>
      <c r="AB32" s="87">
        <f t="shared" si="44"/>
        <v>244794.00000000003</v>
      </c>
      <c r="AC32" s="87">
        <f t="shared" si="44"/>
        <v>244794.00000000003</v>
      </c>
      <c r="AD32" s="87">
        <f t="shared" si="44"/>
        <v>244794.00000000003</v>
      </c>
      <c r="AE32" s="87">
        <f t="shared" si="44"/>
        <v>244794.00000000003</v>
      </c>
      <c r="AF32" s="87">
        <f t="shared" si="44"/>
        <v>244794.00000000003</v>
      </c>
      <c r="AG32" s="87">
        <f t="shared" ref="AG32:AG42" si="45">AF32*(1+$C$3)</f>
        <v>269273.40000000008</v>
      </c>
      <c r="AH32" s="87">
        <f t="shared" si="44"/>
        <v>269273.40000000008</v>
      </c>
      <c r="AI32" s="87">
        <f t="shared" si="44"/>
        <v>269273.40000000008</v>
      </c>
      <c r="AJ32" s="87">
        <f t="shared" si="44"/>
        <v>269273.40000000008</v>
      </c>
      <c r="AK32" s="87">
        <f t="shared" si="44"/>
        <v>269273.40000000008</v>
      </c>
      <c r="AL32" s="87">
        <f t="shared" si="44"/>
        <v>269273.40000000008</v>
      </c>
      <c r="AM32" s="87">
        <f t="shared" si="44"/>
        <v>269273.40000000008</v>
      </c>
      <c r="AN32" s="87">
        <f t="shared" si="44"/>
        <v>269273.40000000008</v>
      </c>
      <c r="AO32" s="87">
        <f t="shared" si="44"/>
        <v>269273.40000000008</v>
      </c>
      <c r="AP32" s="87">
        <f t="shared" si="44"/>
        <v>269273.40000000008</v>
      </c>
      <c r="AQ32" s="87">
        <f t="shared" si="44"/>
        <v>269273.40000000008</v>
      </c>
      <c r="AR32" s="336">
        <f t="shared" si="44"/>
        <v>269273.40000000008</v>
      </c>
      <c r="AS32" s="71"/>
      <c r="AT32" s="71"/>
      <c r="AU32" s="71"/>
      <c r="AV32" s="109"/>
      <c r="AW32" s="71"/>
      <c r="AX32" s="71"/>
    </row>
    <row r="33" spans="1:50" s="56" customFormat="1" ht="21" hidden="1" customHeight="1" outlineLevel="2">
      <c r="A33" s="95" t="s">
        <v>35</v>
      </c>
      <c r="B33" s="529"/>
      <c r="C33" s="348"/>
      <c r="D33" s="336">
        <f t="shared" si="26"/>
        <v>0</v>
      </c>
      <c r="E33" s="336">
        <f t="shared" si="27"/>
        <v>0</v>
      </c>
      <c r="F33" s="336">
        <f t="shared" si="28"/>
        <v>0</v>
      </c>
      <c r="G33" s="93">
        <f t="shared" si="29"/>
        <v>0</v>
      </c>
      <c r="H33" s="93">
        <f t="shared" si="29"/>
        <v>0</v>
      </c>
      <c r="I33" s="87">
        <f>C33</f>
        <v>0</v>
      </c>
      <c r="J33" s="87">
        <f t="shared" si="40"/>
        <v>0</v>
      </c>
      <c r="K33" s="87">
        <f t="shared" si="40"/>
        <v>0</v>
      </c>
      <c r="L33" s="87">
        <f t="shared" si="40"/>
        <v>0</v>
      </c>
      <c r="M33" s="87">
        <f t="shared" si="40"/>
        <v>0</v>
      </c>
      <c r="N33" s="87">
        <f t="shared" si="40"/>
        <v>0</v>
      </c>
      <c r="O33" s="87">
        <f t="shared" si="40"/>
        <v>0</v>
      </c>
      <c r="P33" s="87">
        <f t="shared" si="40"/>
        <v>0</v>
      </c>
      <c r="Q33" s="87">
        <f t="shared" si="40"/>
        <v>0</v>
      </c>
      <c r="R33" s="87">
        <f t="shared" si="40"/>
        <v>0</v>
      </c>
      <c r="S33" s="87">
        <f t="shared" si="40"/>
        <v>0</v>
      </c>
      <c r="T33" s="87">
        <f t="shared" si="40"/>
        <v>0</v>
      </c>
      <c r="U33" s="87">
        <f t="shared" si="43"/>
        <v>0</v>
      </c>
      <c r="V33" s="87">
        <f t="shared" si="40"/>
        <v>0</v>
      </c>
      <c r="W33" s="87">
        <f t="shared" si="40"/>
        <v>0</v>
      </c>
      <c r="X33" s="87">
        <f t="shared" si="40"/>
        <v>0</v>
      </c>
      <c r="Y33" s="87">
        <f t="shared" si="40"/>
        <v>0</v>
      </c>
      <c r="Z33" s="87">
        <f t="shared" si="44"/>
        <v>0</v>
      </c>
      <c r="AA33" s="87">
        <f t="shared" si="44"/>
        <v>0</v>
      </c>
      <c r="AB33" s="87">
        <f t="shared" si="44"/>
        <v>0</v>
      </c>
      <c r="AC33" s="87">
        <f t="shared" si="44"/>
        <v>0</v>
      </c>
      <c r="AD33" s="87">
        <f t="shared" si="44"/>
        <v>0</v>
      </c>
      <c r="AE33" s="87">
        <f t="shared" si="44"/>
        <v>0</v>
      </c>
      <c r="AF33" s="87">
        <f t="shared" si="44"/>
        <v>0</v>
      </c>
      <c r="AG33" s="87">
        <f t="shared" si="45"/>
        <v>0</v>
      </c>
      <c r="AH33" s="87">
        <f t="shared" si="44"/>
        <v>0</v>
      </c>
      <c r="AI33" s="87">
        <f t="shared" si="44"/>
        <v>0</v>
      </c>
      <c r="AJ33" s="87">
        <f t="shared" si="44"/>
        <v>0</v>
      </c>
      <c r="AK33" s="87">
        <f t="shared" si="44"/>
        <v>0</v>
      </c>
      <c r="AL33" s="87">
        <f t="shared" si="44"/>
        <v>0</v>
      </c>
      <c r="AM33" s="87">
        <f t="shared" si="44"/>
        <v>0</v>
      </c>
      <c r="AN33" s="87">
        <f t="shared" si="44"/>
        <v>0</v>
      </c>
      <c r="AO33" s="87">
        <f t="shared" si="44"/>
        <v>0</v>
      </c>
      <c r="AP33" s="87">
        <f t="shared" si="44"/>
        <v>0</v>
      </c>
      <c r="AQ33" s="87">
        <f t="shared" si="44"/>
        <v>0</v>
      </c>
      <c r="AR33" s="87">
        <f t="shared" ref="W33:AR37" si="46">AQ33</f>
        <v>0</v>
      </c>
      <c r="AS33" s="71"/>
      <c r="AT33" s="71"/>
      <c r="AU33" s="71"/>
      <c r="AV33" s="109"/>
      <c r="AW33" s="71"/>
      <c r="AX33" s="71"/>
    </row>
    <row r="34" spans="1:50" s="56" customFormat="1" ht="21" hidden="1" customHeight="1" outlineLevel="1">
      <c r="A34" s="97" t="s">
        <v>6</v>
      </c>
      <c r="B34" s="529">
        <f>14000+11000</f>
        <v>25000</v>
      </c>
      <c r="C34" s="348">
        <f>B34</f>
        <v>25000</v>
      </c>
      <c r="D34" s="336">
        <f t="shared" si="26"/>
        <v>974337.94880000025</v>
      </c>
      <c r="E34" s="336">
        <f t="shared" si="27"/>
        <v>1913852.6335999996</v>
      </c>
      <c r="F34" s="336">
        <f t="shared" si="28"/>
        <v>2404625.2415999998</v>
      </c>
      <c r="G34" s="93">
        <f t="shared" si="29"/>
        <v>0.96425956307779104</v>
      </c>
      <c r="H34" s="93">
        <f t="shared" si="29"/>
        <v>0.2564317645903833</v>
      </c>
      <c r="I34" s="87">
        <f>$C$34+I8*0.32%</f>
        <v>47626.182400000005</v>
      </c>
      <c r="J34" s="336">
        <f t="shared" ref="J34:AR34" si="47">$C$34+J8*0.32%</f>
        <v>53613.148800000003</v>
      </c>
      <c r="K34" s="336">
        <f t="shared" si="47"/>
        <v>65118.720000000001</v>
      </c>
      <c r="L34" s="336">
        <f t="shared" si="47"/>
        <v>71247.174400000004</v>
      </c>
      <c r="M34" s="336">
        <f t="shared" si="47"/>
        <v>82167.785600000003</v>
      </c>
      <c r="N34" s="336">
        <f t="shared" si="47"/>
        <v>88352.681600000011</v>
      </c>
      <c r="O34" s="336">
        <f t="shared" si="47"/>
        <v>94035.376000000004</v>
      </c>
      <c r="P34" s="336">
        <f t="shared" si="47"/>
        <v>94035.376000000004</v>
      </c>
      <c r="Q34" s="336">
        <f t="shared" si="47"/>
        <v>94435.376000000004</v>
      </c>
      <c r="R34" s="336">
        <f t="shared" si="47"/>
        <v>94435.376000000004</v>
      </c>
      <c r="S34" s="336">
        <f t="shared" si="47"/>
        <v>94635.376000000004</v>
      </c>
      <c r="T34" s="336">
        <f t="shared" si="47"/>
        <v>94635.376000000004</v>
      </c>
      <c r="U34" s="336">
        <f t="shared" si="47"/>
        <v>159245.0528</v>
      </c>
      <c r="V34" s="336">
        <f t="shared" si="47"/>
        <v>159245.0528</v>
      </c>
      <c r="W34" s="336">
        <f t="shared" si="47"/>
        <v>159245.0528</v>
      </c>
      <c r="X34" s="336">
        <f t="shared" si="47"/>
        <v>159245.0528</v>
      </c>
      <c r="Y34" s="336">
        <f t="shared" si="47"/>
        <v>159245.0528</v>
      </c>
      <c r="Z34" s="336">
        <f t="shared" si="47"/>
        <v>159661.0528</v>
      </c>
      <c r="AA34" s="336">
        <f t="shared" si="47"/>
        <v>159661.0528</v>
      </c>
      <c r="AB34" s="336">
        <f t="shared" si="47"/>
        <v>159661.0528</v>
      </c>
      <c r="AC34" s="336">
        <f t="shared" si="47"/>
        <v>159661.0528</v>
      </c>
      <c r="AD34" s="336">
        <f t="shared" si="47"/>
        <v>159661.0528</v>
      </c>
      <c r="AE34" s="336">
        <f t="shared" si="47"/>
        <v>159661.0528</v>
      </c>
      <c r="AF34" s="336">
        <f t="shared" si="47"/>
        <v>159661.0528</v>
      </c>
      <c r="AG34" s="336">
        <f t="shared" si="47"/>
        <v>204741.4368</v>
      </c>
      <c r="AH34" s="336">
        <f t="shared" si="47"/>
        <v>199989.4368</v>
      </c>
      <c r="AI34" s="336">
        <f t="shared" si="47"/>
        <v>199989.4368</v>
      </c>
      <c r="AJ34" s="336">
        <f t="shared" si="47"/>
        <v>199989.4368</v>
      </c>
      <c r="AK34" s="336">
        <f t="shared" si="47"/>
        <v>199989.4368</v>
      </c>
      <c r="AL34" s="336">
        <f t="shared" si="47"/>
        <v>199989.4368</v>
      </c>
      <c r="AM34" s="336">
        <f t="shared" si="47"/>
        <v>199989.4368</v>
      </c>
      <c r="AN34" s="336">
        <f t="shared" si="47"/>
        <v>199989.4368</v>
      </c>
      <c r="AO34" s="336">
        <f t="shared" si="47"/>
        <v>199989.4368</v>
      </c>
      <c r="AP34" s="336">
        <f t="shared" si="47"/>
        <v>199989.4368</v>
      </c>
      <c r="AQ34" s="336">
        <f t="shared" si="47"/>
        <v>199989.4368</v>
      </c>
      <c r="AR34" s="336">
        <f t="shared" si="47"/>
        <v>199989.4368</v>
      </c>
      <c r="AS34" s="71"/>
      <c r="AT34" s="71"/>
      <c r="AU34" s="384" t="s">
        <v>357</v>
      </c>
      <c r="AV34" s="109">
        <f>SUMIF('Сравнение Рх показателей'!A:A,'PL OFT_2'!AU34,'Сравнение Рх показателей'!C:C)-D34</f>
        <v>0</v>
      </c>
      <c r="AW34" s="71"/>
      <c r="AX34" s="71"/>
    </row>
    <row r="35" spans="1:50" s="56" customFormat="1" ht="21" hidden="1" customHeight="1" outlineLevel="1">
      <c r="A35" s="97" t="s">
        <v>222</v>
      </c>
      <c r="B35" s="529"/>
      <c r="C35" s="348">
        <v>20000</v>
      </c>
      <c r="D35" s="336">
        <f t="shared" si="26"/>
        <v>240000</v>
      </c>
      <c r="E35" s="336">
        <f t="shared" si="27"/>
        <v>264000</v>
      </c>
      <c r="F35" s="336">
        <f t="shared" si="28"/>
        <v>290400.00000000006</v>
      </c>
      <c r="G35" s="93">
        <f t="shared" si="29"/>
        <v>0.10000000000000009</v>
      </c>
      <c r="H35" s="93">
        <f t="shared" si="29"/>
        <v>0.10000000000000031</v>
      </c>
      <c r="I35" s="87">
        <f>C35</f>
        <v>20000</v>
      </c>
      <c r="J35" s="87">
        <f t="shared" si="40"/>
        <v>20000</v>
      </c>
      <c r="K35" s="87">
        <f t="shared" si="40"/>
        <v>20000</v>
      </c>
      <c r="L35" s="87">
        <f t="shared" si="40"/>
        <v>20000</v>
      </c>
      <c r="M35" s="87">
        <f t="shared" si="40"/>
        <v>20000</v>
      </c>
      <c r="N35" s="87">
        <f t="shared" si="40"/>
        <v>20000</v>
      </c>
      <c r="O35" s="87">
        <f t="shared" si="40"/>
        <v>20000</v>
      </c>
      <c r="P35" s="87">
        <f t="shared" si="40"/>
        <v>20000</v>
      </c>
      <c r="Q35" s="87">
        <f t="shared" si="40"/>
        <v>20000</v>
      </c>
      <c r="R35" s="87">
        <f t="shared" si="40"/>
        <v>20000</v>
      </c>
      <c r="S35" s="87">
        <f t="shared" si="40"/>
        <v>20000</v>
      </c>
      <c r="T35" s="87">
        <f t="shared" si="40"/>
        <v>20000</v>
      </c>
      <c r="U35" s="87">
        <f t="shared" si="43"/>
        <v>22000</v>
      </c>
      <c r="V35" s="87">
        <f t="shared" si="40"/>
        <v>22000</v>
      </c>
      <c r="W35" s="87">
        <f t="shared" si="40"/>
        <v>22000</v>
      </c>
      <c r="X35" s="87">
        <f t="shared" si="40"/>
        <v>22000</v>
      </c>
      <c r="Y35" s="87">
        <f t="shared" si="40"/>
        <v>22000</v>
      </c>
      <c r="Z35" s="87">
        <f t="shared" si="44"/>
        <v>22000</v>
      </c>
      <c r="AA35" s="87">
        <f t="shared" si="44"/>
        <v>22000</v>
      </c>
      <c r="AB35" s="87">
        <f t="shared" si="44"/>
        <v>22000</v>
      </c>
      <c r="AC35" s="87">
        <f t="shared" si="44"/>
        <v>22000</v>
      </c>
      <c r="AD35" s="87">
        <f t="shared" si="44"/>
        <v>22000</v>
      </c>
      <c r="AE35" s="87">
        <f t="shared" si="44"/>
        <v>22000</v>
      </c>
      <c r="AF35" s="87">
        <f t="shared" si="44"/>
        <v>22000</v>
      </c>
      <c r="AG35" s="87">
        <f t="shared" si="45"/>
        <v>24200.000000000004</v>
      </c>
      <c r="AH35" s="87">
        <f t="shared" si="44"/>
        <v>24200.000000000004</v>
      </c>
      <c r="AI35" s="87">
        <f t="shared" si="44"/>
        <v>24200.000000000004</v>
      </c>
      <c r="AJ35" s="87">
        <f t="shared" si="44"/>
        <v>24200.000000000004</v>
      </c>
      <c r="AK35" s="87">
        <f t="shared" si="44"/>
        <v>24200.000000000004</v>
      </c>
      <c r="AL35" s="87">
        <f t="shared" si="44"/>
        <v>24200.000000000004</v>
      </c>
      <c r="AM35" s="87">
        <f t="shared" si="44"/>
        <v>24200.000000000004</v>
      </c>
      <c r="AN35" s="87">
        <f t="shared" si="44"/>
        <v>24200.000000000004</v>
      </c>
      <c r="AO35" s="87">
        <f t="shared" si="44"/>
        <v>24200.000000000004</v>
      </c>
      <c r="AP35" s="87">
        <f t="shared" si="44"/>
        <v>24200.000000000004</v>
      </c>
      <c r="AQ35" s="87">
        <f t="shared" si="44"/>
        <v>24200.000000000004</v>
      </c>
      <c r="AR35" s="87">
        <f t="shared" si="46"/>
        <v>24200.000000000004</v>
      </c>
      <c r="AS35" s="71"/>
      <c r="AT35" s="71"/>
      <c r="AU35" s="384" t="s">
        <v>356</v>
      </c>
      <c r="AV35" s="109">
        <f>SUMIF('Сравнение Рх показателей'!A:A,'PL OFT_2'!AU35,'Сравнение Рх показателей'!C:C)-D35-D36-D37-D38</f>
        <v>0</v>
      </c>
      <c r="AW35" s="71"/>
      <c r="AX35" s="71"/>
    </row>
    <row r="36" spans="1:50" s="56" customFormat="1" ht="21" hidden="1" customHeight="1" outlineLevel="1">
      <c r="A36" s="97" t="s">
        <v>223</v>
      </c>
      <c r="B36" s="529">
        <f>(22991363.62-21000000)/12</f>
        <v>165946.96833333341</v>
      </c>
      <c r="C36" s="530">
        <f>(260000+290000+1500000+400000)/12*120%</f>
        <v>244999.99999999997</v>
      </c>
      <c r="D36" s="336">
        <f t="shared" si="26"/>
        <v>2939999.9999999995</v>
      </c>
      <c r="E36" s="336">
        <f t="shared" si="27"/>
        <v>3234000</v>
      </c>
      <c r="F36" s="336">
        <f t="shared" si="28"/>
        <v>3557400</v>
      </c>
      <c r="G36" s="93">
        <f t="shared" si="29"/>
        <v>0.10000000000000009</v>
      </c>
      <c r="H36" s="93">
        <f t="shared" si="29"/>
        <v>0.10000000000000009</v>
      </c>
      <c r="I36" s="87">
        <f>C36</f>
        <v>244999.99999999997</v>
      </c>
      <c r="J36" s="87">
        <f t="shared" si="40"/>
        <v>244999.99999999997</v>
      </c>
      <c r="K36" s="87">
        <f t="shared" si="40"/>
        <v>244999.99999999997</v>
      </c>
      <c r="L36" s="87">
        <f t="shared" si="40"/>
        <v>244999.99999999997</v>
      </c>
      <c r="M36" s="87">
        <f t="shared" si="40"/>
        <v>244999.99999999997</v>
      </c>
      <c r="N36" s="87">
        <f t="shared" si="40"/>
        <v>244999.99999999997</v>
      </c>
      <c r="O36" s="87">
        <f t="shared" si="40"/>
        <v>244999.99999999997</v>
      </c>
      <c r="P36" s="87">
        <f t="shared" si="40"/>
        <v>244999.99999999997</v>
      </c>
      <c r="Q36" s="87">
        <f t="shared" si="40"/>
        <v>244999.99999999997</v>
      </c>
      <c r="R36" s="87">
        <f t="shared" si="40"/>
        <v>244999.99999999997</v>
      </c>
      <c r="S36" s="87">
        <f t="shared" si="40"/>
        <v>244999.99999999997</v>
      </c>
      <c r="T36" s="87">
        <f t="shared" si="40"/>
        <v>244999.99999999997</v>
      </c>
      <c r="U36" s="87">
        <f>T36*(1+$B$3)</f>
        <v>269500</v>
      </c>
      <c r="V36" s="87">
        <f t="shared" si="40"/>
        <v>269500</v>
      </c>
      <c r="W36" s="87">
        <f t="shared" si="40"/>
        <v>269500</v>
      </c>
      <c r="X36" s="87">
        <f t="shared" si="40"/>
        <v>269500</v>
      </c>
      <c r="Y36" s="87">
        <f t="shared" si="40"/>
        <v>269500</v>
      </c>
      <c r="Z36" s="87">
        <f t="shared" si="44"/>
        <v>269500</v>
      </c>
      <c r="AA36" s="87">
        <f t="shared" si="44"/>
        <v>269500</v>
      </c>
      <c r="AB36" s="87">
        <f t="shared" si="44"/>
        <v>269500</v>
      </c>
      <c r="AC36" s="87">
        <f t="shared" si="44"/>
        <v>269500</v>
      </c>
      <c r="AD36" s="87">
        <f t="shared" si="44"/>
        <v>269500</v>
      </c>
      <c r="AE36" s="87">
        <f t="shared" si="44"/>
        <v>269500</v>
      </c>
      <c r="AF36" s="87">
        <f t="shared" si="44"/>
        <v>269500</v>
      </c>
      <c r="AG36" s="87">
        <f t="shared" si="45"/>
        <v>296450</v>
      </c>
      <c r="AH36" s="87">
        <f t="shared" si="44"/>
        <v>296450</v>
      </c>
      <c r="AI36" s="87">
        <f t="shared" si="44"/>
        <v>296450</v>
      </c>
      <c r="AJ36" s="87">
        <f t="shared" si="44"/>
        <v>296450</v>
      </c>
      <c r="AK36" s="87">
        <f t="shared" si="44"/>
        <v>296450</v>
      </c>
      <c r="AL36" s="87">
        <f t="shared" si="44"/>
        <v>296450</v>
      </c>
      <c r="AM36" s="87">
        <f t="shared" si="44"/>
        <v>296450</v>
      </c>
      <c r="AN36" s="87">
        <f t="shared" si="44"/>
        <v>296450</v>
      </c>
      <c r="AO36" s="87">
        <f t="shared" si="44"/>
        <v>296450</v>
      </c>
      <c r="AP36" s="87">
        <f t="shared" si="44"/>
        <v>296450</v>
      </c>
      <c r="AQ36" s="87">
        <f t="shared" si="44"/>
        <v>296450</v>
      </c>
      <c r="AR36" s="87">
        <f t="shared" si="46"/>
        <v>296450</v>
      </c>
      <c r="AS36" s="71"/>
      <c r="AT36" s="71"/>
      <c r="AU36" s="384" t="s">
        <v>356</v>
      </c>
      <c r="AV36" s="109"/>
      <c r="AW36" s="71"/>
      <c r="AX36" s="71"/>
    </row>
    <row r="37" spans="1:50" s="56" customFormat="1" ht="21" hidden="1" customHeight="1" outlineLevel="1">
      <c r="A37" s="97" t="s">
        <v>8</v>
      </c>
      <c r="B37" s="529">
        <f>136350.96/12</f>
        <v>11362.58</v>
      </c>
      <c r="C37" s="348">
        <v>15000</v>
      </c>
      <c r="D37" s="336">
        <f t="shared" si="26"/>
        <v>180000</v>
      </c>
      <c r="E37" s="336">
        <f t="shared" si="27"/>
        <v>198000</v>
      </c>
      <c r="F37" s="336">
        <f t="shared" si="28"/>
        <v>388124.75037486164</v>
      </c>
      <c r="G37" s="93">
        <f t="shared" si="29"/>
        <v>0.10000000000000009</v>
      </c>
      <c r="H37" s="93">
        <f t="shared" si="29"/>
        <v>0.96022601199425073</v>
      </c>
      <c r="I37" s="87">
        <f>$C37</f>
        <v>15000</v>
      </c>
      <c r="J37" s="87">
        <f t="shared" ref="J37:T37" si="48">$C37</f>
        <v>15000</v>
      </c>
      <c r="K37" s="87">
        <f t="shared" si="48"/>
        <v>15000</v>
      </c>
      <c r="L37" s="87">
        <f t="shared" si="48"/>
        <v>15000</v>
      </c>
      <c r="M37" s="87">
        <f t="shared" si="48"/>
        <v>15000</v>
      </c>
      <c r="N37" s="87">
        <f t="shared" si="48"/>
        <v>15000</v>
      </c>
      <c r="O37" s="87">
        <f t="shared" si="48"/>
        <v>15000</v>
      </c>
      <c r="P37" s="87">
        <f t="shared" si="48"/>
        <v>15000</v>
      </c>
      <c r="Q37" s="87">
        <f t="shared" si="48"/>
        <v>15000</v>
      </c>
      <c r="R37" s="87">
        <f t="shared" si="48"/>
        <v>15000</v>
      </c>
      <c r="S37" s="87">
        <f t="shared" si="48"/>
        <v>15000</v>
      </c>
      <c r="T37" s="87">
        <f t="shared" si="48"/>
        <v>15000</v>
      </c>
      <c r="U37" s="87">
        <f t="shared" si="43"/>
        <v>16500</v>
      </c>
      <c r="V37" s="87">
        <f>U37</f>
        <v>16500</v>
      </c>
      <c r="W37" s="87">
        <f t="shared" si="46"/>
        <v>16500</v>
      </c>
      <c r="X37" s="87">
        <f t="shared" si="46"/>
        <v>16500</v>
      </c>
      <c r="Y37" s="87">
        <f t="shared" si="46"/>
        <v>16500</v>
      </c>
      <c r="Z37" s="87">
        <f t="shared" si="46"/>
        <v>16500</v>
      </c>
      <c r="AA37" s="87">
        <f t="shared" si="46"/>
        <v>16500</v>
      </c>
      <c r="AB37" s="87">
        <f t="shared" si="46"/>
        <v>16500</v>
      </c>
      <c r="AC37" s="87">
        <f t="shared" si="46"/>
        <v>16500</v>
      </c>
      <c r="AD37" s="87">
        <f t="shared" si="46"/>
        <v>16500</v>
      </c>
      <c r="AE37" s="87">
        <f t="shared" si="46"/>
        <v>16500</v>
      </c>
      <c r="AF37" s="87">
        <f t="shared" si="46"/>
        <v>16500</v>
      </c>
      <c r="AG37" s="87">
        <f t="shared" si="45"/>
        <v>18150</v>
      </c>
      <c r="AH37" s="87">
        <f t="shared" ref="AH37:AR37" si="49">AG37*1.1</f>
        <v>19965</v>
      </c>
      <c r="AI37" s="87">
        <f t="shared" si="49"/>
        <v>21961.5</v>
      </c>
      <c r="AJ37" s="87">
        <f t="shared" si="49"/>
        <v>24157.65</v>
      </c>
      <c r="AK37" s="87">
        <f t="shared" si="49"/>
        <v>26573.415000000005</v>
      </c>
      <c r="AL37" s="87">
        <f t="shared" si="49"/>
        <v>29230.756500000007</v>
      </c>
      <c r="AM37" s="87">
        <f t="shared" si="49"/>
        <v>32153.832150000009</v>
      </c>
      <c r="AN37" s="87">
        <f t="shared" si="49"/>
        <v>35369.215365000011</v>
      </c>
      <c r="AO37" s="87">
        <f t="shared" si="49"/>
        <v>38906.136901500016</v>
      </c>
      <c r="AP37" s="87">
        <f t="shared" si="49"/>
        <v>42796.750591650023</v>
      </c>
      <c r="AQ37" s="87">
        <f t="shared" si="49"/>
        <v>47076.425650815028</v>
      </c>
      <c r="AR37" s="87">
        <f t="shared" si="49"/>
        <v>51784.068215896536</v>
      </c>
      <c r="AS37" s="71"/>
      <c r="AT37" s="71"/>
      <c r="AU37" s="384" t="s">
        <v>356</v>
      </c>
      <c r="AV37" s="109"/>
      <c r="AW37" s="71"/>
      <c r="AX37" s="71"/>
    </row>
    <row r="38" spans="1:50" s="56" customFormat="1" ht="21" hidden="1" customHeight="1" outlineLevel="1">
      <c r="A38" s="97" t="s">
        <v>224</v>
      </c>
      <c r="B38" s="529">
        <v>1000</v>
      </c>
      <c r="C38" s="348">
        <v>1000</v>
      </c>
      <c r="D38" s="336">
        <f t="shared" si="26"/>
        <v>12000</v>
      </c>
      <c r="E38" s="336">
        <f t="shared" si="27"/>
        <v>13200</v>
      </c>
      <c r="F38" s="336">
        <f t="shared" si="28"/>
        <v>14520</v>
      </c>
      <c r="G38" s="93">
        <f t="shared" si="29"/>
        <v>0.10000000000000009</v>
      </c>
      <c r="H38" s="93">
        <f t="shared" si="29"/>
        <v>0.10000000000000009</v>
      </c>
      <c r="I38" s="87">
        <f>C38</f>
        <v>1000</v>
      </c>
      <c r="J38" s="87">
        <f t="shared" ref="J38:AR42" si="50">I38</f>
        <v>1000</v>
      </c>
      <c r="K38" s="87">
        <f t="shared" si="50"/>
        <v>1000</v>
      </c>
      <c r="L38" s="87">
        <f t="shared" si="50"/>
        <v>1000</v>
      </c>
      <c r="M38" s="87">
        <f t="shared" si="50"/>
        <v>1000</v>
      </c>
      <c r="N38" s="87">
        <f t="shared" si="50"/>
        <v>1000</v>
      </c>
      <c r="O38" s="87">
        <f t="shared" si="50"/>
        <v>1000</v>
      </c>
      <c r="P38" s="87">
        <f>O38</f>
        <v>1000</v>
      </c>
      <c r="Q38" s="87">
        <f t="shared" si="50"/>
        <v>1000</v>
      </c>
      <c r="R38" s="87">
        <f t="shared" si="50"/>
        <v>1000</v>
      </c>
      <c r="S38" s="87">
        <f t="shared" si="50"/>
        <v>1000</v>
      </c>
      <c r="T38" s="87">
        <f t="shared" si="50"/>
        <v>1000</v>
      </c>
      <c r="U38" s="87">
        <f t="shared" si="43"/>
        <v>1100</v>
      </c>
      <c r="V38" s="87">
        <f t="shared" si="50"/>
        <v>1100</v>
      </c>
      <c r="W38" s="87">
        <f t="shared" si="50"/>
        <v>1100</v>
      </c>
      <c r="X38" s="87">
        <f t="shared" si="50"/>
        <v>1100</v>
      </c>
      <c r="Y38" s="87">
        <f t="shared" si="50"/>
        <v>1100</v>
      </c>
      <c r="Z38" s="87">
        <f t="shared" si="50"/>
        <v>1100</v>
      </c>
      <c r="AA38" s="87">
        <f t="shared" si="50"/>
        <v>1100</v>
      </c>
      <c r="AB38" s="87">
        <f t="shared" si="50"/>
        <v>1100</v>
      </c>
      <c r="AC38" s="87">
        <f t="shared" si="50"/>
        <v>1100</v>
      </c>
      <c r="AD38" s="87">
        <f t="shared" si="50"/>
        <v>1100</v>
      </c>
      <c r="AE38" s="87">
        <f t="shared" si="50"/>
        <v>1100</v>
      </c>
      <c r="AF38" s="87">
        <f t="shared" si="50"/>
        <v>1100</v>
      </c>
      <c r="AG38" s="87">
        <f t="shared" si="45"/>
        <v>1210</v>
      </c>
      <c r="AH38" s="87">
        <f t="shared" si="50"/>
        <v>1210</v>
      </c>
      <c r="AI38" s="87">
        <f t="shared" si="50"/>
        <v>1210</v>
      </c>
      <c r="AJ38" s="87">
        <f t="shared" si="50"/>
        <v>1210</v>
      </c>
      <c r="AK38" s="87">
        <f t="shared" si="50"/>
        <v>1210</v>
      </c>
      <c r="AL38" s="87">
        <f t="shared" si="50"/>
        <v>1210</v>
      </c>
      <c r="AM38" s="87">
        <f t="shared" si="50"/>
        <v>1210</v>
      </c>
      <c r="AN38" s="87">
        <f t="shared" si="50"/>
        <v>1210</v>
      </c>
      <c r="AO38" s="87">
        <f t="shared" si="50"/>
        <v>1210</v>
      </c>
      <c r="AP38" s="87">
        <f t="shared" si="50"/>
        <v>1210</v>
      </c>
      <c r="AQ38" s="87">
        <f t="shared" si="50"/>
        <v>1210</v>
      </c>
      <c r="AR38" s="87">
        <f t="shared" si="50"/>
        <v>1210</v>
      </c>
      <c r="AS38" s="71"/>
      <c r="AT38" s="71"/>
      <c r="AU38" s="384" t="s">
        <v>356</v>
      </c>
      <c r="AV38" s="109"/>
      <c r="AW38" s="71"/>
      <c r="AX38" s="71"/>
    </row>
    <row r="39" spans="1:50" s="56" customFormat="1" ht="21" hidden="1" customHeight="1" outlineLevel="1">
      <c r="A39" s="97" t="s">
        <v>9</v>
      </c>
      <c r="B39" s="529">
        <f>572118.83/12</f>
        <v>47676.569166666661</v>
      </c>
      <c r="C39" s="348">
        <v>50000</v>
      </c>
      <c r="D39" s="336">
        <f t="shared" si="26"/>
        <v>600000</v>
      </c>
      <c r="E39" s="336">
        <f t="shared" si="27"/>
        <v>660000.00000000012</v>
      </c>
      <c r="F39" s="336">
        <f t="shared" si="28"/>
        <v>726000.00000000012</v>
      </c>
      <c r="G39" s="93">
        <f t="shared" ref="G39:H51" si="51">IFERROR(E39/D39-1,0)</f>
        <v>0.10000000000000009</v>
      </c>
      <c r="H39" s="93">
        <f t="shared" si="51"/>
        <v>0.10000000000000009</v>
      </c>
      <c r="I39" s="87">
        <f>C39</f>
        <v>50000</v>
      </c>
      <c r="J39" s="87">
        <f t="shared" si="50"/>
        <v>50000</v>
      </c>
      <c r="K39" s="87">
        <f t="shared" si="50"/>
        <v>50000</v>
      </c>
      <c r="L39" s="87">
        <f t="shared" si="50"/>
        <v>50000</v>
      </c>
      <c r="M39" s="87">
        <f t="shared" si="50"/>
        <v>50000</v>
      </c>
      <c r="N39" s="87">
        <f t="shared" si="50"/>
        <v>50000</v>
      </c>
      <c r="O39" s="87">
        <f t="shared" si="50"/>
        <v>50000</v>
      </c>
      <c r="P39" s="87">
        <f t="shared" si="50"/>
        <v>50000</v>
      </c>
      <c r="Q39" s="87">
        <f t="shared" si="50"/>
        <v>50000</v>
      </c>
      <c r="R39" s="87">
        <f t="shared" si="50"/>
        <v>50000</v>
      </c>
      <c r="S39" s="87">
        <f t="shared" si="50"/>
        <v>50000</v>
      </c>
      <c r="T39" s="87">
        <f t="shared" si="50"/>
        <v>50000</v>
      </c>
      <c r="U39" s="87">
        <f t="shared" si="43"/>
        <v>55000.000000000007</v>
      </c>
      <c r="V39" s="87">
        <f t="shared" si="50"/>
        <v>55000.000000000007</v>
      </c>
      <c r="W39" s="87">
        <f t="shared" si="50"/>
        <v>55000.000000000007</v>
      </c>
      <c r="X39" s="87">
        <f t="shared" si="50"/>
        <v>55000.000000000007</v>
      </c>
      <c r="Y39" s="87">
        <f t="shared" si="50"/>
        <v>55000.000000000007</v>
      </c>
      <c r="Z39" s="87">
        <f t="shared" si="50"/>
        <v>55000.000000000007</v>
      </c>
      <c r="AA39" s="87">
        <f t="shared" si="50"/>
        <v>55000.000000000007</v>
      </c>
      <c r="AB39" s="87">
        <f t="shared" si="50"/>
        <v>55000.000000000007</v>
      </c>
      <c r="AC39" s="87">
        <f t="shared" si="50"/>
        <v>55000.000000000007</v>
      </c>
      <c r="AD39" s="87">
        <f t="shared" si="50"/>
        <v>55000.000000000007</v>
      </c>
      <c r="AE39" s="87">
        <f t="shared" si="50"/>
        <v>55000.000000000007</v>
      </c>
      <c r="AF39" s="87">
        <f t="shared" si="50"/>
        <v>55000.000000000007</v>
      </c>
      <c r="AG39" s="87">
        <f t="shared" si="45"/>
        <v>60500.000000000015</v>
      </c>
      <c r="AH39" s="87">
        <f t="shared" si="50"/>
        <v>60500.000000000015</v>
      </c>
      <c r="AI39" s="87">
        <f t="shared" si="50"/>
        <v>60500.000000000015</v>
      </c>
      <c r="AJ39" s="87">
        <f t="shared" si="50"/>
        <v>60500.000000000015</v>
      </c>
      <c r="AK39" s="87">
        <f t="shared" si="50"/>
        <v>60500.000000000015</v>
      </c>
      <c r="AL39" s="87">
        <f t="shared" si="50"/>
        <v>60500.000000000015</v>
      </c>
      <c r="AM39" s="87">
        <f t="shared" si="50"/>
        <v>60500.000000000015</v>
      </c>
      <c r="AN39" s="87">
        <f t="shared" si="50"/>
        <v>60500.000000000015</v>
      </c>
      <c r="AO39" s="87">
        <f t="shared" si="50"/>
        <v>60500.000000000015</v>
      </c>
      <c r="AP39" s="87">
        <f t="shared" si="50"/>
        <v>60500.000000000015</v>
      </c>
      <c r="AQ39" s="87">
        <f t="shared" si="50"/>
        <v>60500.000000000015</v>
      </c>
      <c r="AR39" s="87">
        <f t="shared" si="50"/>
        <v>60500.000000000015</v>
      </c>
      <c r="AS39" s="71"/>
      <c r="AT39" s="71"/>
      <c r="AU39" s="384" t="s">
        <v>360</v>
      </c>
      <c r="AV39" s="109">
        <f>SUMIF('Сравнение Рх показателей'!A:A,'PL OFT_2'!AU39,'Сравнение Рх показателей'!C:C)-D39-D40</f>
        <v>0</v>
      </c>
      <c r="AW39" s="71"/>
      <c r="AX39" s="71"/>
    </row>
    <row r="40" spans="1:50" s="56" customFormat="1" ht="21" hidden="1" customHeight="1" outlineLevel="1">
      <c r="A40" s="97" t="s">
        <v>12</v>
      </c>
      <c r="B40" s="529">
        <f>1590066.66/12/'Сравнение Рх показателей'!H30</f>
        <v>2172.2222131147541</v>
      </c>
      <c r="C40" s="348">
        <f>B40</f>
        <v>2172.2222131147541</v>
      </c>
      <c r="D40" s="336">
        <f t="shared" si="26"/>
        <v>1290299.9945901635</v>
      </c>
      <c r="E40" s="336">
        <f t="shared" si="27"/>
        <v>1577033.3267213115</v>
      </c>
      <c r="F40" s="336">
        <f t="shared" si="28"/>
        <v>1603099.993278689</v>
      </c>
      <c r="G40" s="93">
        <f t="shared" si="51"/>
        <v>0.22222222222222276</v>
      </c>
      <c r="H40" s="93">
        <f t="shared" si="51"/>
        <v>1.6528925619834878E-2</v>
      </c>
      <c r="I40" s="87">
        <f>C40*Payroll_OFT_2!C40</f>
        <v>107524.99954918033</v>
      </c>
      <c r="J40" s="87">
        <f t="shared" si="50"/>
        <v>107524.99954918033</v>
      </c>
      <c r="K40" s="87">
        <f t="shared" si="50"/>
        <v>107524.99954918033</v>
      </c>
      <c r="L40" s="87">
        <f t="shared" si="50"/>
        <v>107524.99954918033</v>
      </c>
      <c r="M40" s="87">
        <f t="shared" si="50"/>
        <v>107524.99954918033</v>
      </c>
      <c r="N40" s="87">
        <f t="shared" si="50"/>
        <v>107524.99954918033</v>
      </c>
      <c r="O40" s="87">
        <f t="shared" si="50"/>
        <v>107524.99954918033</v>
      </c>
      <c r="P40" s="87">
        <f t="shared" si="50"/>
        <v>107524.99954918033</v>
      </c>
      <c r="Q40" s="87">
        <f t="shared" si="50"/>
        <v>107524.99954918033</v>
      </c>
      <c r="R40" s="87">
        <f t="shared" si="50"/>
        <v>107524.99954918033</v>
      </c>
      <c r="S40" s="87">
        <f t="shared" si="50"/>
        <v>107524.99954918033</v>
      </c>
      <c r="T40" s="87">
        <f t="shared" si="50"/>
        <v>107524.99954918033</v>
      </c>
      <c r="U40" s="87">
        <f>B40*Payroll_OFT_2!D40</f>
        <v>131419.44389344263</v>
      </c>
      <c r="V40" s="87">
        <f t="shared" si="50"/>
        <v>131419.44389344263</v>
      </c>
      <c r="W40" s="87">
        <f t="shared" si="50"/>
        <v>131419.44389344263</v>
      </c>
      <c r="X40" s="87">
        <f t="shared" si="50"/>
        <v>131419.44389344263</v>
      </c>
      <c r="Y40" s="87">
        <f t="shared" si="50"/>
        <v>131419.44389344263</v>
      </c>
      <c r="Z40" s="87">
        <f t="shared" si="50"/>
        <v>131419.44389344263</v>
      </c>
      <c r="AA40" s="87">
        <f t="shared" si="50"/>
        <v>131419.44389344263</v>
      </c>
      <c r="AB40" s="87">
        <f t="shared" si="50"/>
        <v>131419.44389344263</v>
      </c>
      <c r="AC40" s="87">
        <f t="shared" si="50"/>
        <v>131419.44389344263</v>
      </c>
      <c r="AD40" s="87">
        <f t="shared" si="50"/>
        <v>131419.44389344263</v>
      </c>
      <c r="AE40" s="87">
        <f t="shared" si="50"/>
        <v>131419.44389344263</v>
      </c>
      <c r="AF40" s="87">
        <f t="shared" si="50"/>
        <v>131419.44389344263</v>
      </c>
      <c r="AG40" s="87">
        <f>B40*Payroll_OFT_2!E40</f>
        <v>133591.66610655739</v>
      </c>
      <c r="AH40" s="87">
        <f t="shared" si="50"/>
        <v>133591.66610655739</v>
      </c>
      <c r="AI40" s="87">
        <f t="shared" si="50"/>
        <v>133591.66610655739</v>
      </c>
      <c r="AJ40" s="87">
        <f t="shared" si="50"/>
        <v>133591.66610655739</v>
      </c>
      <c r="AK40" s="87">
        <f t="shared" si="50"/>
        <v>133591.66610655739</v>
      </c>
      <c r="AL40" s="87">
        <f t="shared" si="50"/>
        <v>133591.66610655739</v>
      </c>
      <c r="AM40" s="87">
        <f t="shared" si="50"/>
        <v>133591.66610655739</v>
      </c>
      <c r="AN40" s="87">
        <f t="shared" si="50"/>
        <v>133591.66610655739</v>
      </c>
      <c r="AO40" s="87">
        <f t="shared" si="50"/>
        <v>133591.66610655739</v>
      </c>
      <c r="AP40" s="87">
        <f t="shared" si="50"/>
        <v>133591.66610655739</v>
      </c>
      <c r="AQ40" s="87">
        <f t="shared" si="50"/>
        <v>133591.66610655739</v>
      </c>
      <c r="AR40" s="87">
        <f t="shared" si="50"/>
        <v>133591.66610655739</v>
      </c>
      <c r="AS40" s="71"/>
      <c r="AT40" s="71"/>
      <c r="AU40" s="384" t="s">
        <v>360</v>
      </c>
      <c r="AV40" s="109"/>
      <c r="AW40" s="71"/>
      <c r="AX40" s="71"/>
    </row>
    <row r="41" spans="1:50" s="56" customFormat="1" ht="21" hidden="1" customHeight="1" outlineLevel="1">
      <c r="A41" s="97" t="s">
        <v>7</v>
      </c>
      <c r="B41" s="529">
        <f>2840735.56/12</f>
        <v>236727.96333333335</v>
      </c>
      <c r="C41" s="348">
        <v>200000</v>
      </c>
      <c r="D41" s="336">
        <f t="shared" si="26"/>
        <v>2400000</v>
      </c>
      <c r="E41" s="336">
        <f t="shared" si="27"/>
        <v>2640000.0000000005</v>
      </c>
      <c r="F41" s="336">
        <f t="shared" si="28"/>
        <v>2904000.0000000005</v>
      </c>
      <c r="G41" s="93">
        <f t="shared" si="51"/>
        <v>0.10000000000000009</v>
      </c>
      <c r="H41" s="93">
        <f t="shared" si="51"/>
        <v>0.10000000000000009</v>
      </c>
      <c r="I41" s="87">
        <f>C41</f>
        <v>200000</v>
      </c>
      <c r="J41" s="87">
        <f t="shared" si="50"/>
        <v>200000</v>
      </c>
      <c r="K41" s="87">
        <f t="shared" si="50"/>
        <v>200000</v>
      </c>
      <c r="L41" s="87">
        <f t="shared" si="50"/>
        <v>200000</v>
      </c>
      <c r="M41" s="87">
        <f t="shared" si="50"/>
        <v>200000</v>
      </c>
      <c r="N41" s="87">
        <f t="shared" si="50"/>
        <v>200000</v>
      </c>
      <c r="O41" s="87">
        <f t="shared" si="50"/>
        <v>200000</v>
      </c>
      <c r="P41" s="87">
        <f>O41</f>
        <v>200000</v>
      </c>
      <c r="Q41" s="87">
        <f t="shared" si="50"/>
        <v>200000</v>
      </c>
      <c r="R41" s="87">
        <f t="shared" si="50"/>
        <v>200000</v>
      </c>
      <c r="S41" s="87">
        <f t="shared" si="50"/>
        <v>200000</v>
      </c>
      <c r="T41" s="87">
        <f t="shared" si="50"/>
        <v>200000</v>
      </c>
      <c r="U41" s="87">
        <f t="shared" si="43"/>
        <v>220000.00000000003</v>
      </c>
      <c r="V41" s="87">
        <f t="shared" si="50"/>
        <v>220000.00000000003</v>
      </c>
      <c r="W41" s="87">
        <f t="shared" si="50"/>
        <v>220000.00000000003</v>
      </c>
      <c r="X41" s="87">
        <f t="shared" si="50"/>
        <v>220000.00000000003</v>
      </c>
      <c r="Y41" s="87">
        <f t="shared" si="50"/>
        <v>220000.00000000003</v>
      </c>
      <c r="Z41" s="87">
        <f t="shared" si="50"/>
        <v>220000.00000000003</v>
      </c>
      <c r="AA41" s="87">
        <f t="shared" si="50"/>
        <v>220000.00000000003</v>
      </c>
      <c r="AB41" s="87">
        <f t="shared" si="50"/>
        <v>220000.00000000003</v>
      </c>
      <c r="AC41" s="87">
        <f t="shared" si="50"/>
        <v>220000.00000000003</v>
      </c>
      <c r="AD41" s="87">
        <f t="shared" si="50"/>
        <v>220000.00000000003</v>
      </c>
      <c r="AE41" s="87">
        <f t="shared" si="50"/>
        <v>220000.00000000003</v>
      </c>
      <c r="AF41" s="87">
        <f t="shared" si="50"/>
        <v>220000.00000000003</v>
      </c>
      <c r="AG41" s="87">
        <f t="shared" si="45"/>
        <v>242000.00000000006</v>
      </c>
      <c r="AH41" s="87">
        <f t="shared" si="50"/>
        <v>242000.00000000006</v>
      </c>
      <c r="AI41" s="87">
        <f t="shared" si="50"/>
        <v>242000.00000000006</v>
      </c>
      <c r="AJ41" s="87">
        <f t="shared" si="50"/>
        <v>242000.00000000006</v>
      </c>
      <c r="AK41" s="87">
        <f t="shared" si="50"/>
        <v>242000.00000000006</v>
      </c>
      <c r="AL41" s="87">
        <f t="shared" si="50"/>
        <v>242000.00000000006</v>
      </c>
      <c r="AM41" s="87">
        <f t="shared" si="50"/>
        <v>242000.00000000006</v>
      </c>
      <c r="AN41" s="87">
        <f t="shared" si="50"/>
        <v>242000.00000000006</v>
      </c>
      <c r="AO41" s="87">
        <f t="shared" si="50"/>
        <v>242000.00000000006</v>
      </c>
      <c r="AP41" s="87">
        <f t="shared" si="50"/>
        <v>242000.00000000006</v>
      </c>
      <c r="AQ41" s="87">
        <f t="shared" si="50"/>
        <v>242000.00000000006</v>
      </c>
      <c r="AR41" s="87">
        <f t="shared" si="50"/>
        <v>242000.00000000006</v>
      </c>
      <c r="AS41" s="71"/>
      <c r="AT41" s="71"/>
      <c r="AU41" s="384" t="s">
        <v>361</v>
      </c>
      <c r="AV41" s="109">
        <f>SUMIF('Сравнение Рх показателей'!A:A,'PL OFT_2'!AU41,'Сравнение Рх показателей'!C:C)-D41</f>
        <v>0</v>
      </c>
      <c r="AW41" s="71"/>
      <c r="AX41" s="71"/>
    </row>
    <row r="42" spans="1:50" s="56" customFormat="1" ht="21" hidden="1" customHeight="1" outlineLevel="1">
      <c r="A42" s="97" t="s">
        <v>225</v>
      </c>
      <c r="B42" s="529">
        <f>142867.56/12</f>
        <v>11905.63</v>
      </c>
      <c r="C42" s="348">
        <v>12000</v>
      </c>
      <c r="D42" s="336">
        <f t="shared" si="26"/>
        <v>144000</v>
      </c>
      <c r="E42" s="336">
        <f t="shared" si="27"/>
        <v>158400.00000000003</v>
      </c>
      <c r="F42" s="336">
        <f t="shared" si="28"/>
        <v>174240.00000000003</v>
      </c>
      <c r="G42" s="93">
        <f t="shared" si="51"/>
        <v>0.10000000000000031</v>
      </c>
      <c r="H42" s="93">
        <f t="shared" si="51"/>
        <v>0.10000000000000009</v>
      </c>
      <c r="I42" s="87">
        <f>C42</f>
        <v>12000</v>
      </c>
      <c r="J42" s="87">
        <f t="shared" si="50"/>
        <v>12000</v>
      </c>
      <c r="K42" s="87">
        <f t="shared" si="50"/>
        <v>12000</v>
      </c>
      <c r="L42" s="87">
        <f t="shared" si="50"/>
        <v>12000</v>
      </c>
      <c r="M42" s="87">
        <f t="shared" si="50"/>
        <v>12000</v>
      </c>
      <c r="N42" s="87">
        <f t="shared" si="50"/>
        <v>12000</v>
      </c>
      <c r="O42" s="87">
        <f t="shared" si="50"/>
        <v>12000</v>
      </c>
      <c r="P42" s="87">
        <f t="shared" si="50"/>
        <v>12000</v>
      </c>
      <c r="Q42" s="87">
        <f t="shared" si="50"/>
        <v>12000</v>
      </c>
      <c r="R42" s="87">
        <f t="shared" si="50"/>
        <v>12000</v>
      </c>
      <c r="S42" s="87">
        <f t="shared" si="50"/>
        <v>12000</v>
      </c>
      <c r="T42" s="87">
        <f t="shared" si="50"/>
        <v>12000</v>
      </c>
      <c r="U42" s="87">
        <f t="shared" si="43"/>
        <v>13200.000000000002</v>
      </c>
      <c r="V42" s="87">
        <f t="shared" si="50"/>
        <v>13200.000000000002</v>
      </c>
      <c r="W42" s="87">
        <f t="shared" si="50"/>
        <v>13200.000000000002</v>
      </c>
      <c r="X42" s="87">
        <f t="shared" si="50"/>
        <v>13200.000000000002</v>
      </c>
      <c r="Y42" s="87">
        <f t="shared" si="50"/>
        <v>13200.000000000002</v>
      </c>
      <c r="Z42" s="87">
        <f t="shared" si="50"/>
        <v>13200.000000000002</v>
      </c>
      <c r="AA42" s="87">
        <f t="shared" si="50"/>
        <v>13200.000000000002</v>
      </c>
      <c r="AB42" s="87">
        <f t="shared" si="50"/>
        <v>13200.000000000002</v>
      </c>
      <c r="AC42" s="87">
        <f t="shared" si="50"/>
        <v>13200.000000000002</v>
      </c>
      <c r="AD42" s="87">
        <f t="shared" si="50"/>
        <v>13200.000000000002</v>
      </c>
      <c r="AE42" s="87">
        <f t="shared" si="50"/>
        <v>13200.000000000002</v>
      </c>
      <c r="AF42" s="87">
        <f t="shared" si="50"/>
        <v>13200.000000000002</v>
      </c>
      <c r="AG42" s="87">
        <f t="shared" si="45"/>
        <v>14520.000000000004</v>
      </c>
      <c r="AH42" s="87">
        <f t="shared" si="50"/>
        <v>14520.000000000004</v>
      </c>
      <c r="AI42" s="87">
        <f t="shared" si="50"/>
        <v>14520.000000000004</v>
      </c>
      <c r="AJ42" s="87">
        <f t="shared" si="50"/>
        <v>14520.000000000004</v>
      </c>
      <c r="AK42" s="87">
        <f t="shared" si="50"/>
        <v>14520.000000000004</v>
      </c>
      <c r="AL42" s="87">
        <f t="shared" si="50"/>
        <v>14520.000000000004</v>
      </c>
      <c r="AM42" s="87">
        <f t="shared" si="50"/>
        <v>14520.000000000004</v>
      </c>
      <c r="AN42" s="87">
        <f t="shared" si="50"/>
        <v>14520.000000000004</v>
      </c>
      <c r="AO42" s="87">
        <f t="shared" si="50"/>
        <v>14520.000000000004</v>
      </c>
      <c r="AP42" s="87">
        <f t="shared" si="50"/>
        <v>14520.000000000004</v>
      </c>
      <c r="AQ42" s="87">
        <f t="shared" si="50"/>
        <v>14520.000000000004</v>
      </c>
      <c r="AR42" s="87">
        <f t="shared" si="50"/>
        <v>14520.000000000004</v>
      </c>
      <c r="AS42" s="71"/>
      <c r="AT42" s="71"/>
      <c r="AU42" s="384" t="s">
        <v>362</v>
      </c>
      <c r="AV42" s="109">
        <f>SUMIF('Сравнение Рх показателей'!A:A,'PL OFT_2'!AU42,'Сравнение Рх показателей'!C:C)-D42</f>
        <v>0</v>
      </c>
      <c r="AW42" s="71"/>
      <c r="AX42" s="71"/>
    </row>
    <row r="43" spans="1:50" s="56" customFormat="1" ht="21" hidden="1" customHeight="1" outlineLevel="1">
      <c r="A43" s="97" t="s">
        <v>10</v>
      </c>
      <c r="B43" s="529"/>
      <c r="C43" s="551"/>
      <c r="D43" s="336" t="e">
        <f t="shared" si="26"/>
        <v>#REF!</v>
      </c>
      <c r="E43" s="336" t="e">
        <f t="shared" si="27"/>
        <v>#REF!</v>
      </c>
      <c r="F43" s="336" t="e">
        <f t="shared" si="28"/>
        <v>#REF!</v>
      </c>
      <c r="G43" s="93">
        <f t="shared" si="51"/>
        <v>0</v>
      </c>
      <c r="H43" s="93">
        <f t="shared" si="51"/>
        <v>0</v>
      </c>
      <c r="I43" s="87" t="e">
        <f>SUM(I44:I48)</f>
        <v>#REF!</v>
      </c>
      <c r="J43" s="336" t="e">
        <f t="shared" ref="J43:AR43" si="52">SUM(J44:J48)</f>
        <v>#REF!</v>
      </c>
      <c r="K43" s="336" t="e">
        <f t="shared" si="52"/>
        <v>#REF!</v>
      </c>
      <c r="L43" s="336" t="e">
        <f t="shared" si="52"/>
        <v>#REF!</v>
      </c>
      <c r="M43" s="336" t="e">
        <f t="shared" si="52"/>
        <v>#REF!</v>
      </c>
      <c r="N43" s="336" t="e">
        <f t="shared" si="52"/>
        <v>#REF!</v>
      </c>
      <c r="O43" s="336" t="e">
        <f t="shared" si="52"/>
        <v>#REF!</v>
      </c>
      <c r="P43" s="336" t="e">
        <f t="shared" si="52"/>
        <v>#REF!</v>
      </c>
      <c r="Q43" s="336" t="e">
        <f t="shared" si="52"/>
        <v>#REF!</v>
      </c>
      <c r="R43" s="336" t="e">
        <f t="shared" si="52"/>
        <v>#REF!</v>
      </c>
      <c r="S43" s="336" t="e">
        <f t="shared" si="52"/>
        <v>#REF!</v>
      </c>
      <c r="T43" s="336" t="e">
        <f t="shared" si="52"/>
        <v>#REF!</v>
      </c>
      <c r="U43" s="336" t="e">
        <f t="shared" si="52"/>
        <v>#REF!</v>
      </c>
      <c r="V43" s="336" t="e">
        <f t="shared" si="52"/>
        <v>#REF!</v>
      </c>
      <c r="W43" s="336" t="e">
        <f t="shared" si="52"/>
        <v>#REF!</v>
      </c>
      <c r="X43" s="336" t="e">
        <f t="shared" si="52"/>
        <v>#REF!</v>
      </c>
      <c r="Y43" s="336" t="e">
        <f t="shared" si="52"/>
        <v>#REF!</v>
      </c>
      <c r="Z43" s="336" t="e">
        <f t="shared" si="52"/>
        <v>#REF!</v>
      </c>
      <c r="AA43" s="336" t="e">
        <f t="shared" si="52"/>
        <v>#REF!</v>
      </c>
      <c r="AB43" s="336" t="e">
        <f t="shared" si="52"/>
        <v>#REF!</v>
      </c>
      <c r="AC43" s="336" t="e">
        <f t="shared" si="52"/>
        <v>#REF!</v>
      </c>
      <c r="AD43" s="336" t="e">
        <f t="shared" si="52"/>
        <v>#REF!</v>
      </c>
      <c r="AE43" s="336" t="e">
        <f t="shared" si="52"/>
        <v>#REF!</v>
      </c>
      <c r="AF43" s="336" t="e">
        <f t="shared" si="52"/>
        <v>#REF!</v>
      </c>
      <c r="AG43" s="336" t="e">
        <f t="shared" si="52"/>
        <v>#REF!</v>
      </c>
      <c r="AH43" s="336" t="e">
        <f t="shared" si="52"/>
        <v>#REF!</v>
      </c>
      <c r="AI43" s="336" t="e">
        <f t="shared" si="52"/>
        <v>#REF!</v>
      </c>
      <c r="AJ43" s="336" t="e">
        <f t="shared" si="52"/>
        <v>#REF!</v>
      </c>
      <c r="AK43" s="336" t="e">
        <f t="shared" si="52"/>
        <v>#REF!</v>
      </c>
      <c r="AL43" s="336" t="e">
        <f t="shared" si="52"/>
        <v>#REF!</v>
      </c>
      <c r="AM43" s="336" t="e">
        <f t="shared" si="52"/>
        <v>#REF!</v>
      </c>
      <c r="AN43" s="336" t="e">
        <f t="shared" si="52"/>
        <v>#REF!</v>
      </c>
      <c r="AO43" s="336" t="e">
        <f t="shared" si="52"/>
        <v>#REF!</v>
      </c>
      <c r="AP43" s="336" t="e">
        <f t="shared" si="52"/>
        <v>#REF!</v>
      </c>
      <c r="AQ43" s="336" t="e">
        <f t="shared" si="52"/>
        <v>#REF!</v>
      </c>
      <c r="AR43" s="336" t="e">
        <f t="shared" si="52"/>
        <v>#REF!</v>
      </c>
      <c r="AS43" s="71"/>
      <c r="AT43" s="71"/>
      <c r="AU43" s="384" t="s">
        <v>364</v>
      </c>
      <c r="AV43" s="109" t="e">
        <f>SUMIF('Сравнение Рх показателей'!A:A,'PL OFT_2'!AU43,'Сравнение Рх показателей'!C:C)-D43</f>
        <v>#REF!</v>
      </c>
      <c r="AW43" s="71"/>
      <c r="AX43" s="71"/>
    </row>
    <row r="44" spans="1:50" s="56" customFormat="1" ht="21" hidden="1" customHeight="1" outlineLevel="2">
      <c r="A44" s="95" t="s">
        <v>38</v>
      </c>
      <c r="B44" s="120">
        <f>(B70+B71)/435287531.8</f>
        <v>8.560484111711467E-4</v>
      </c>
      <c r="C44" s="547">
        <f>B44</f>
        <v>8.560484111711467E-4</v>
      </c>
      <c r="D44" s="336">
        <f t="shared" si="26"/>
        <v>72634.153103957113</v>
      </c>
      <c r="E44" s="336">
        <f t="shared" si="27"/>
        <v>79897.568414352834</v>
      </c>
      <c r="F44" s="336">
        <f t="shared" si="28"/>
        <v>87887.32525578815</v>
      </c>
      <c r="G44" s="93">
        <f t="shared" si="51"/>
        <v>0.10000000000000009</v>
      </c>
      <c r="H44" s="93">
        <f t="shared" si="51"/>
        <v>0.10000000000000031</v>
      </c>
      <c r="I44" s="336">
        <f>$C$44*I8</f>
        <v>6052.8460919964264</v>
      </c>
      <c r="J44" s="87">
        <f t="shared" ref="J44:AR47" si="53">I44</f>
        <v>6052.8460919964264</v>
      </c>
      <c r="K44" s="87">
        <f t="shared" si="53"/>
        <v>6052.8460919964264</v>
      </c>
      <c r="L44" s="87">
        <f t="shared" si="53"/>
        <v>6052.8460919964264</v>
      </c>
      <c r="M44" s="87">
        <f t="shared" si="53"/>
        <v>6052.8460919964264</v>
      </c>
      <c r="N44" s="87">
        <f t="shared" si="53"/>
        <v>6052.8460919964264</v>
      </c>
      <c r="O44" s="87">
        <f t="shared" si="53"/>
        <v>6052.8460919964264</v>
      </c>
      <c r="P44" s="87">
        <f t="shared" si="53"/>
        <v>6052.8460919964264</v>
      </c>
      <c r="Q44" s="87">
        <f t="shared" si="53"/>
        <v>6052.8460919964264</v>
      </c>
      <c r="R44" s="87">
        <f t="shared" si="53"/>
        <v>6052.8460919964264</v>
      </c>
      <c r="S44" s="87">
        <f t="shared" si="53"/>
        <v>6052.8460919964264</v>
      </c>
      <c r="T44" s="87">
        <f t="shared" si="53"/>
        <v>6052.8460919964264</v>
      </c>
      <c r="U44" s="87">
        <f t="shared" ref="U44:U51" si="54">T44*(1+$B$3)</f>
        <v>6658.1307011960698</v>
      </c>
      <c r="V44" s="87">
        <f t="shared" si="53"/>
        <v>6658.1307011960698</v>
      </c>
      <c r="W44" s="87">
        <f t="shared" si="53"/>
        <v>6658.1307011960698</v>
      </c>
      <c r="X44" s="87">
        <f t="shared" si="53"/>
        <v>6658.1307011960698</v>
      </c>
      <c r="Y44" s="87">
        <f t="shared" si="53"/>
        <v>6658.1307011960698</v>
      </c>
      <c r="Z44" s="87">
        <f t="shared" si="53"/>
        <v>6658.1307011960698</v>
      </c>
      <c r="AA44" s="87">
        <f t="shared" si="53"/>
        <v>6658.1307011960698</v>
      </c>
      <c r="AB44" s="87">
        <f t="shared" si="53"/>
        <v>6658.1307011960698</v>
      </c>
      <c r="AC44" s="87">
        <f t="shared" si="53"/>
        <v>6658.1307011960698</v>
      </c>
      <c r="AD44" s="87">
        <f t="shared" si="53"/>
        <v>6658.1307011960698</v>
      </c>
      <c r="AE44" s="87">
        <f t="shared" si="53"/>
        <v>6658.1307011960698</v>
      </c>
      <c r="AF44" s="87">
        <f t="shared" si="53"/>
        <v>6658.1307011960698</v>
      </c>
      <c r="AG44" s="87">
        <f t="shared" ref="AG44:AG51" si="55">AF44*(1+$C$3)</f>
        <v>7323.9437713156776</v>
      </c>
      <c r="AH44" s="87">
        <f t="shared" si="53"/>
        <v>7323.9437713156776</v>
      </c>
      <c r="AI44" s="87">
        <f t="shared" si="53"/>
        <v>7323.9437713156776</v>
      </c>
      <c r="AJ44" s="87">
        <f t="shared" si="53"/>
        <v>7323.9437713156776</v>
      </c>
      <c r="AK44" s="87">
        <f t="shared" si="53"/>
        <v>7323.9437713156776</v>
      </c>
      <c r="AL44" s="87">
        <f t="shared" si="53"/>
        <v>7323.9437713156776</v>
      </c>
      <c r="AM44" s="87">
        <f t="shared" si="53"/>
        <v>7323.9437713156776</v>
      </c>
      <c r="AN44" s="87">
        <f t="shared" si="53"/>
        <v>7323.9437713156776</v>
      </c>
      <c r="AO44" s="87">
        <f t="shared" si="53"/>
        <v>7323.9437713156776</v>
      </c>
      <c r="AP44" s="87">
        <f t="shared" si="53"/>
        <v>7323.9437713156776</v>
      </c>
      <c r="AQ44" s="87">
        <f t="shared" si="53"/>
        <v>7323.9437713156776</v>
      </c>
      <c r="AR44" s="87">
        <f t="shared" si="53"/>
        <v>7323.9437713156776</v>
      </c>
      <c r="AS44" s="71"/>
      <c r="AT44" s="71"/>
      <c r="AU44" s="71"/>
      <c r="AV44" s="109"/>
      <c r="AW44" s="71"/>
      <c r="AX44" s="71"/>
    </row>
    <row r="45" spans="1:50" s="56" customFormat="1" ht="21" hidden="1" customHeight="1" outlineLevel="2">
      <c r="A45" s="95" t="s">
        <v>43</v>
      </c>
      <c r="B45" s="529">
        <f>B73/12</f>
        <v>102508.76166666666</v>
      </c>
      <c r="C45" s="348">
        <v>100000</v>
      </c>
      <c r="D45" s="336">
        <f t="shared" si="26"/>
        <v>1200000</v>
      </c>
      <c r="E45" s="336">
        <f t="shared" si="27"/>
        <v>1320000.0000000002</v>
      </c>
      <c r="F45" s="336">
        <f t="shared" si="28"/>
        <v>1452000.0000000002</v>
      </c>
      <c r="G45" s="93">
        <f t="shared" si="51"/>
        <v>0.10000000000000009</v>
      </c>
      <c r="H45" s="93">
        <f t="shared" si="51"/>
        <v>0.10000000000000009</v>
      </c>
      <c r="I45" s="87">
        <f>C45</f>
        <v>100000</v>
      </c>
      <c r="J45" s="87">
        <f t="shared" si="53"/>
        <v>100000</v>
      </c>
      <c r="K45" s="87">
        <f t="shared" si="53"/>
        <v>100000</v>
      </c>
      <c r="L45" s="87">
        <f t="shared" si="53"/>
        <v>100000</v>
      </c>
      <c r="M45" s="87">
        <f t="shared" si="53"/>
        <v>100000</v>
      </c>
      <c r="N45" s="87">
        <f t="shared" si="53"/>
        <v>100000</v>
      </c>
      <c r="O45" s="87">
        <f t="shared" si="53"/>
        <v>100000</v>
      </c>
      <c r="P45" s="87">
        <f t="shared" si="53"/>
        <v>100000</v>
      </c>
      <c r="Q45" s="87">
        <f t="shared" si="53"/>
        <v>100000</v>
      </c>
      <c r="R45" s="87">
        <f t="shared" si="53"/>
        <v>100000</v>
      </c>
      <c r="S45" s="87">
        <f t="shared" si="53"/>
        <v>100000</v>
      </c>
      <c r="T45" s="87">
        <f t="shared" si="53"/>
        <v>100000</v>
      </c>
      <c r="U45" s="87">
        <f t="shared" si="54"/>
        <v>110000.00000000001</v>
      </c>
      <c r="V45" s="87">
        <f t="shared" si="53"/>
        <v>110000.00000000001</v>
      </c>
      <c r="W45" s="87">
        <f t="shared" si="53"/>
        <v>110000.00000000001</v>
      </c>
      <c r="X45" s="87">
        <f t="shared" si="53"/>
        <v>110000.00000000001</v>
      </c>
      <c r="Y45" s="87">
        <f t="shared" si="53"/>
        <v>110000.00000000001</v>
      </c>
      <c r="Z45" s="87">
        <f t="shared" si="53"/>
        <v>110000.00000000001</v>
      </c>
      <c r="AA45" s="87">
        <f t="shared" si="53"/>
        <v>110000.00000000001</v>
      </c>
      <c r="AB45" s="87">
        <f t="shared" si="53"/>
        <v>110000.00000000001</v>
      </c>
      <c r="AC45" s="87">
        <f t="shared" si="53"/>
        <v>110000.00000000001</v>
      </c>
      <c r="AD45" s="87">
        <f t="shared" si="53"/>
        <v>110000.00000000001</v>
      </c>
      <c r="AE45" s="87">
        <f t="shared" si="53"/>
        <v>110000.00000000001</v>
      </c>
      <c r="AF45" s="87">
        <f t="shared" si="53"/>
        <v>110000.00000000001</v>
      </c>
      <c r="AG45" s="87">
        <f t="shared" si="55"/>
        <v>121000.00000000003</v>
      </c>
      <c r="AH45" s="87">
        <f t="shared" si="53"/>
        <v>121000.00000000003</v>
      </c>
      <c r="AI45" s="87">
        <f t="shared" si="53"/>
        <v>121000.00000000003</v>
      </c>
      <c r="AJ45" s="87">
        <f t="shared" si="53"/>
        <v>121000.00000000003</v>
      </c>
      <c r="AK45" s="87">
        <f t="shared" si="53"/>
        <v>121000.00000000003</v>
      </c>
      <c r="AL45" s="87">
        <f t="shared" si="53"/>
        <v>121000.00000000003</v>
      </c>
      <c r="AM45" s="87">
        <f t="shared" si="53"/>
        <v>121000.00000000003</v>
      </c>
      <c r="AN45" s="87">
        <f t="shared" si="53"/>
        <v>121000.00000000003</v>
      </c>
      <c r="AO45" s="87">
        <f t="shared" si="53"/>
        <v>121000.00000000003</v>
      </c>
      <c r="AP45" s="87">
        <f t="shared" si="53"/>
        <v>121000.00000000003</v>
      </c>
      <c r="AQ45" s="87">
        <f t="shared" si="53"/>
        <v>121000.00000000003</v>
      </c>
      <c r="AR45" s="87">
        <f t="shared" si="53"/>
        <v>121000.00000000003</v>
      </c>
      <c r="AS45" s="71"/>
      <c r="AT45" s="71"/>
      <c r="AU45" s="71"/>
      <c r="AV45" s="109"/>
      <c r="AW45" s="71"/>
      <c r="AX45" s="71"/>
    </row>
    <row r="46" spans="1:50" s="56" customFormat="1" ht="21" hidden="1" customHeight="1" outlineLevel="2">
      <c r="A46" s="95" t="s">
        <v>44</v>
      </c>
      <c r="B46" s="529"/>
      <c r="C46" s="348" t="e">
        <f>#REF!/12</f>
        <v>#REF!</v>
      </c>
      <c r="D46" s="336" t="e">
        <f t="shared" si="26"/>
        <v>#REF!</v>
      </c>
      <c r="E46" s="336" t="e">
        <f t="shared" si="27"/>
        <v>#REF!</v>
      </c>
      <c r="F46" s="336" t="e">
        <f t="shared" si="28"/>
        <v>#REF!</v>
      </c>
      <c r="G46" s="93">
        <f t="shared" si="51"/>
        <v>0</v>
      </c>
      <c r="H46" s="93">
        <f t="shared" si="51"/>
        <v>0</v>
      </c>
      <c r="I46" s="87" t="e">
        <f>C46</f>
        <v>#REF!</v>
      </c>
      <c r="J46" s="87" t="e">
        <f t="shared" si="53"/>
        <v>#REF!</v>
      </c>
      <c r="K46" s="87" t="e">
        <f t="shared" si="53"/>
        <v>#REF!</v>
      </c>
      <c r="L46" s="87" t="e">
        <f t="shared" si="53"/>
        <v>#REF!</v>
      </c>
      <c r="M46" s="87" t="e">
        <f t="shared" si="53"/>
        <v>#REF!</v>
      </c>
      <c r="N46" s="87" t="e">
        <f t="shared" si="53"/>
        <v>#REF!</v>
      </c>
      <c r="O46" s="87" t="e">
        <f t="shared" si="53"/>
        <v>#REF!</v>
      </c>
      <c r="P46" s="87" t="e">
        <f t="shared" si="53"/>
        <v>#REF!</v>
      </c>
      <c r="Q46" s="87" t="e">
        <f t="shared" si="53"/>
        <v>#REF!</v>
      </c>
      <c r="R46" s="87" t="e">
        <f t="shared" si="53"/>
        <v>#REF!</v>
      </c>
      <c r="S46" s="87" t="e">
        <f t="shared" si="53"/>
        <v>#REF!</v>
      </c>
      <c r="T46" s="87" t="e">
        <f t="shared" si="53"/>
        <v>#REF!</v>
      </c>
      <c r="U46" s="87" t="e">
        <f t="shared" si="54"/>
        <v>#REF!</v>
      </c>
      <c r="V46" s="87" t="e">
        <f t="shared" si="53"/>
        <v>#REF!</v>
      </c>
      <c r="W46" s="87" t="e">
        <f t="shared" si="53"/>
        <v>#REF!</v>
      </c>
      <c r="X46" s="87" t="e">
        <f t="shared" si="53"/>
        <v>#REF!</v>
      </c>
      <c r="Y46" s="87" t="e">
        <f t="shared" si="53"/>
        <v>#REF!</v>
      </c>
      <c r="Z46" s="87" t="e">
        <f t="shared" si="53"/>
        <v>#REF!</v>
      </c>
      <c r="AA46" s="87" t="e">
        <f t="shared" si="53"/>
        <v>#REF!</v>
      </c>
      <c r="AB46" s="87" t="e">
        <f t="shared" si="53"/>
        <v>#REF!</v>
      </c>
      <c r="AC46" s="87" t="e">
        <f t="shared" si="53"/>
        <v>#REF!</v>
      </c>
      <c r="AD46" s="87" t="e">
        <f t="shared" si="53"/>
        <v>#REF!</v>
      </c>
      <c r="AE46" s="87" t="e">
        <f t="shared" si="53"/>
        <v>#REF!</v>
      </c>
      <c r="AF46" s="87" t="e">
        <f t="shared" si="53"/>
        <v>#REF!</v>
      </c>
      <c r="AG46" s="87" t="e">
        <f t="shared" si="55"/>
        <v>#REF!</v>
      </c>
      <c r="AH46" s="87" t="e">
        <f t="shared" si="53"/>
        <v>#REF!</v>
      </c>
      <c r="AI46" s="87" t="e">
        <f t="shared" si="53"/>
        <v>#REF!</v>
      </c>
      <c r="AJ46" s="87" t="e">
        <f t="shared" si="53"/>
        <v>#REF!</v>
      </c>
      <c r="AK46" s="87" t="e">
        <f t="shared" si="53"/>
        <v>#REF!</v>
      </c>
      <c r="AL46" s="87" t="e">
        <f t="shared" si="53"/>
        <v>#REF!</v>
      </c>
      <c r="AM46" s="87" t="e">
        <f t="shared" si="53"/>
        <v>#REF!</v>
      </c>
      <c r="AN46" s="87" t="e">
        <f t="shared" si="53"/>
        <v>#REF!</v>
      </c>
      <c r="AO46" s="87" t="e">
        <f t="shared" si="53"/>
        <v>#REF!</v>
      </c>
      <c r="AP46" s="87" t="e">
        <f t="shared" si="53"/>
        <v>#REF!</v>
      </c>
      <c r="AQ46" s="87" t="e">
        <f t="shared" si="53"/>
        <v>#REF!</v>
      </c>
      <c r="AR46" s="87" t="e">
        <f t="shared" si="53"/>
        <v>#REF!</v>
      </c>
      <c r="AS46" s="71"/>
      <c r="AT46" s="71"/>
      <c r="AU46" s="71"/>
      <c r="AV46" s="109"/>
      <c r="AW46" s="71"/>
      <c r="AX46" s="71"/>
    </row>
    <row r="47" spans="1:50" s="56" customFormat="1" ht="21" hidden="1" customHeight="1" outlineLevel="2">
      <c r="A47" s="95" t="s">
        <v>334</v>
      </c>
      <c r="B47" s="529">
        <f>(B75+B76)/12</f>
        <v>33447.400833333333</v>
      </c>
      <c r="C47" s="348">
        <v>40000</v>
      </c>
      <c r="D47" s="336">
        <f t="shared" si="26"/>
        <v>480000</v>
      </c>
      <c r="E47" s="336">
        <f t="shared" si="27"/>
        <v>528000</v>
      </c>
      <c r="F47" s="336">
        <f t="shared" si="28"/>
        <v>580800.00000000012</v>
      </c>
      <c r="G47" s="93">
        <f t="shared" si="51"/>
        <v>0.10000000000000009</v>
      </c>
      <c r="H47" s="93">
        <f t="shared" si="51"/>
        <v>0.10000000000000031</v>
      </c>
      <c r="I47" s="87">
        <f>C47</f>
        <v>40000</v>
      </c>
      <c r="J47" s="87">
        <f t="shared" si="53"/>
        <v>40000</v>
      </c>
      <c r="K47" s="87">
        <f t="shared" si="53"/>
        <v>40000</v>
      </c>
      <c r="L47" s="87">
        <f t="shared" si="53"/>
        <v>40000</v>
      </c>
      <c r="M47" s="87">
        <f t="shared" si="53"/>
        <v>40000</v>
      </c>
      <c r="N47" s="87">
        <f t="shared" si="53"/>
        <v>40000</v>
      </c>
      <c r="O47" s="87">
        <f t="shared" si="53"/>
        <v>40000</v>
      </c>
      <c r="P47" s="87">
        <f t="shared" si="53"/>
        <v>40000</v>
      </c>
      <c r="Q47" s="87">
        <f t="shared" si="53"/>
        <v>40000</v>
      </c>
      <c r="R47" s="87">
        <f t="shared" si="53"/>
        <v>40000</v>
      </c>
      <c r="S47" s="87">
        <f t="shared" si="53"/>
        <v>40000</v>
      </c>
      <c r="T47" s="87">
        <f t="shared" si="53"/>
        <v>40000</v>
      </c>
      <c r="U47" s="87">
        <f t="shared" si="54"/>
        <v>44000</v>
      </c>
      <c r="V47" s="87">
        <f t="shared" si="53"/>
        <v>44000</v>
      </c>
      <c r="W47" s="87">
        <f t="shared" si="53"/>
        <v>44000</v>
      </c>
      <c r="X47" s="87">
        <f t="shared" si="53"/>
        <v>44000</v>
      </c>
      <c r="Y47" s="87">
        <f t="shared" si="53"/>
        <v>44000</v>
      </c>
      <c r="Z47" s="87">
        <f t="shared" si="53"/>
        <v>44000</v>
      </c>
      <c r="AA47" s="87">
        <f t="shared" si="53"/>
        <v>44000</v>
      </c>
      <c r="AB47" s="87">
        <f t="shared" si="53"/>
        <v>44000</v>
      </c>
      <c r="AC47" s="87">
        <f t="shared" si="53"/>
        <v>44000</v>
      </c>
      <c r="AD47" s="87">
        <f t="shared" si="53"/>
        <v>44000</v>
      </c>
      <c r="AE47" s="87">
        <f t="shared" si="53"/>
        <v>44000</v>
      </c>
      <c r="AF47" s="87">
        <f t="shared" si="53"/>
        <v>44000</v>
      </c>
      <c r="AG47" s="87">
        <f t="shared" si="55"/>
        <v>48400.000000000007</v>
      </c>
      <c r="AH47" s="87">
        <f t="shared" si="53"/>
        <v>48400.000000000007</v>
      </c>
      <c r="AI47" s="87">
        <f t="shared" si="53"/>
        <v>48400.000000000007</v>
      </c>
      <c r="AJ47" s="87">
        <f t="shared" si="53"/>
        <v>48400.000000000007</v>
      </c>
      <c r="AK47" s="87">
        <f t="shared" si="53"/>
        <v>48400.000000000007</v>
      </c>
      <c r="AL47" s="87">
        <f t="shared" si="53"/>
        <v>48400.000000000007</v>
      </c>
      <c r="AM47" s="87">
        <f t="shared" si="53"/>
        <v>48400.000000000007</v>
      </c>
      <c r="AN47" s="87">
        <f t="shared" si="53"/>
        <v>48400.000000000007</v>
      </c>
      <c r="AO47" s="87">
        <f t="shared" si="53"/>
        <v>48400.000000000007</v>
      </c>
      <c r="AP47" s="87">
        <f t="shared" si="53"/>
        <v>48400.000000000007</v>
      </c>
      <c r="AQ47" s="87">
        <f t="shared" si="53"/>
        <v>48400.000000000007</v>
      </c>
      <c r="AR47" s="87">
        <f t="shared" si="53"/>
        <v>48400.000000000007</v>
      </c>
      <c r="AS47" s="71"/>
      <c r="AT47" s="71"/>
      <c r="AU47" s="71"/>
      <c r="AV47" s="109"/>
      <c r="AW47" s="71"/>
      <c r="AX47" s="71"/>
    </row>
    <row r="48" spans="1:50" s="56" customFormat="1" ht="21" hidden="1" customHeight="1" outlineLevel="2">
      <c r="A48" s="95" t="s">
        <v>335</v>
      </c>
      <c r="B48" s="120">
        <f>(B68+B69+B72+B74+B78)/435287531.8</f>
        <v>1.9247651237227557E-3</v>
      </c>
      <c r="C48" s="550">
        <f>B48</f>
        <v>1.9247651237227557E-3</v>
      </c>
      <c r="D48" s="336">
        <f t="shared" si="26"/>
        <v>405606.92670405662</v>
      </c>
      <c r="E48" s="336">
        <f t="shared" si="27"/>
        <v>936041.24554124149</v>
      </c>
      <c r="F48" s="336">
        <f t="shared" si="28"/>
        <v>1246893.500764485</v>
      </c>
      <c r="G48" s="93">
        <f t="shared" si="51"/>
        <v>1.3077545868051859</v>
      </c>
      <c r="H48" s="93">
        <f t="shared" si="51"/>
        <v>0.3320924763774713</v>
      </c>
      <c r="I48" s="87">
        <f>$C$48*I8</f>
        <v>13609.402114534261</v>
      </c>
      <c r="J48" s="87">
        <f t="shared" ref="J48:AR48" si="56">$C$48*J8</f>
        <v>17210.497153165506</v>
      </c>
      <c r="K48" s="87">
        <f t="shared" si="56"/>
        <v>24130.97283262456</v>
      </c>
      <c r="L48" s="87">
        <f t="shared" si="56"/>
        <v>27817.171361201206</v>
      </c>
      <c r="M48" s="87">
        <f t="shared" si="56"/>
        <v>34385.799976043745</v>
      </c>
      <c r="N48" s="87">
        <f t="shared" si="56"/>
        <v>38105.947511872611</v>
      </c>
      <c r="O48" s="87">
        <f t="shared" si="56"/>
        <v>41524.026258714672</v>
      </c>
      <c r="P48" s="87">
        <f t="shared" si="56"/>
        <v>41524.026258714672</v>
      </c>
      <c r="Q48" s="87">
        <f t="shared" si="56"/>
        <v>41764.62189918002</v>
      </c>
      <c r="R48" s="87">
        <f t="shared" si="56"/>
        <v>41764.62189918002</v>
      </c>
      <c r="S48" s="87">
        <f t="shared" si="56"/>
        <v>41884.91971941269</v>
      </c>
      <c r="T48" s="87">
        <f t="shared" si="56"/>
        <v>41884.91971941269</v>
      </c>
      <c r="U48" s="87">
        <f t="shared" si="54"/>
        <v>46073.411691353962</v>
      </c>
      <c r="V48" s="87">
        <f t="shared" si="56"/>
        <v>80746.936144299965</v>
      </c>
      <c r="W48" s="87">
        <f t="shared" si="56"/>
        <v>80746.936144299965</v>
      </c>
      <c r="X48" s="87">
        <f t="shared" si="56"/>
        <v>80746.936144299965</v>
      </c>
      <c r="Y48" s="87">
        <f t="shared" si="56"/>
        <v>80746.936144299965</v>
      </c>
      <c r="Z48" s="87">
        <f t="shared" si="56"/>
        <v>80997.155610383925</v>
      </c>
      <c r="AA48" s="87">
        <f t="shared" si="56"/>
        <v>80997.155610383925</v>
      </c>
      <c r="AB48" s="87">
        <f t="shared" si="56"/>
        <v>80997.155610383925</v>
      </c>
      <c r="AC48" s="87">
        <f t="shared" si="56"/>
        <v>80997.155610383925</v>
      </c>
      <c r="AD48" s="87">
        <f t="shared" si="56"/>
        <v>80997.155610383925</v>
      </c>
      <c r="AE48" s="87">
        <f t="shared" si="56"/>
        <v>80997.155610383925</v>
      </c>
      <c r="AF48" s="87">
        <f t="shared" si="56"/>
        <v>80997.155610383925</v>
      </c>
      <c r="AG48" s="87">
        <f t="shared" si="55"/>
        <v>89096.871171422317</v>
      </c>
      <c r="AH48" s="87">
        <f t="shared" si="56"/>
        <v>105254.23905391479</v>
      </c>
      <c r="AI48" s="87">
        <f t="shared" si="56"/>
        <v>105254.23905391479</v>
      </c>
      <c r="AJ48" s="87">
        <f t="shared" si="56"/>
        <v>105254.23905391479</v>
      </c>
      <c r="AK48" s="87">
        <f t="shared" si="56"/>
        <v>105254.23905391479</v>
      </c>
      <c r="AL48" s="87">
        <f t="shared" si="56"/>
        <v>105254.23905391479</v>
      </c>
      <c r="AM48" s="87">
        <f t="shared" si="56"/>
        <v>105254.23905391479</v>
      </c>
      <c r="AN48" s="87">
        <f t="shared" si="56"/>
        <v>105254.23905391479</v>
      </c>
      <c r="AO48" s="87">
        <f t="shared" si="56"/>
        <v>105254.23905391479</v>
      </c>
      <c r="AP48" s="87">
        <f t="shared" si="56"/>
        <v>105254.23905391479</v>
      </c>
      <c r="AQ48" s="87">
        <f t="shared" si="56"/>
        <v>105254.23905391479</v>
      </c>
      <c r="AR48" s="87">
        <f t="shared" si="56"/>
        <v>105254.23905391479</v>
      </c>
      <c r="AS48" s="71"/>
      <c r="AT48" s="71"/>
      <c r="AU48" s="71"/>
      <c r="AV48" s="109"/>
      <c r="AW48" s="71"/>
      <c r="AX48" s="71"/>
    </row>
    <row r="49" spans="1:50" s="56" customFormat="1" ht="21" hidden="1" customHeight="1" outlineLevel="1">
      <c r="A49" s="97" t="s">
        <v>11</v>
      </c>
      <c r="B49" s="529">
        <f>381014.4/12</f>
        <v>31751.200000000001</v>
      </c>
      <c r="C49" s="348">
        <f>B49</f>
        <v>31751.200000000001</v>
      </c>
      <c r="D49" s="336">
        <f t="shared" si="26"/>
        <v>381014.40000000008</v>
      </c>
      <c r="E49" s="336">
        <f t="shared" si="27"/>
        <v>381014.40000000008</v>
      </c>
      <c r="F49" s="336">
        <f t="shared" si="28"/>
        <v>381014.40000000008</v>
      </c>
      <c r="G49" s="93">
        <f t="shared" si="51"/>
        <v>0</v>
      </c>
      <c r="H49" s="93">
        <f t="shared" si="51"/>
        <v>0</v>
      </c>
      <c r="I49" s="87">
        <f>C49</f>
        <v>31751.200000000001</v>
      </c>
      <c r="J49" s="87">
        <f t="shared" ref="J49:K49" si="57">I49</f>
        <v>31751.200000000001</v>
      </c>
      <c r="K49" s="336">
        <f t="shared" si="57"/>
        <v>31751.200000000001</v>
      </c>
      <c r="L49" s="336">
        <f t="shared" ref="L49" si="58">K49</f>
        <v>31751.200000000001</v>
      </c>
      <c r="M49" s="336">
        <f t="shared" ref="M49" si="59">L49</f>
        <v>31751.200000000001</v>
      </c>
      <c r="N49" s="336">
        <f t="shared" ref="N49" si="60">M49</f>
        <v>31751.200000000001</v>
      </c>
      <c r="O49" s="336">
        <f t="shared" ref="O49" si="61">N49</f>
        <v>31751.200000000001</v>
      </c>
      <c r="P49" s="336">
        <f t="shared" ref="P49" si="62">O49</f>
        <v>31751.200000000001</v>
      </c>
      <c r="Q49" s="336">
        <f t="shared" ref="Q49" si="63">P49</f>
        <v>31751.200000000001</v>
      </c>
      <c r="R49" s="336">
        <f t="shared" ref="R49" si="64">Q49</f>
        <v>31751.200000000001</v>
      </c>
      <c r="S49" s="336">
        <f t="shared" ref="S49" si="65">R49</f>
        <v>31751.200000000001</v>
      </c>
      <c r="T49" s="336">
        <f t="shared" ref="T49" si="66">S49</f>
        <v>31751.200000000001</v>
      </c>
      <c r="U49" s="336">
        <f t="shared" ref="U49" si="67">T49</f>
        <v>31751.200000000001</v>
      </c>
      <c r="V49" s="336">
        <f t="shared" ref="V49" si="68">U49</f>
        <v>31751.200000000001</v>
      </c>
      <c r="W49" s="336">
        <f t="shared" ref="W49" si="69">V49</f>
        <v>31751.200000000001</v>
      </c>
      <c r="X49" s="336">
        <f t="shared" ref="X49" si="70">W49</f>
        <v>31751.200000000001</v>
      </c>
      <c r="Y49" s="336">
        <f t="shared" ref="Y49" si="71">X49</f>
        <v>31751.200000000001</v>
      </c>
      <c r="Z49" s="336">
        <f t="shared" ref="Z49" si="72">Y49</f>
        <v>31751.200000000001</v>
      </c>
      <c r="AA49" s="336">
        <f t="shared" ref="AA49" si="73">Z49</f>
        <v>31751.200000000001</v>
      </c>
      <c r="AB49" s="336">
        <f t="shared" ref="AB49" si="74">AA49</f>
        <v>31751.200000000001</v>
      </c>
      <c r="AC49" s="336">
        <f t="shared" ref="AC49" si="75">AB49</f>
        <v>31751.200000000001</v>
      </c>
      <c r="AD49" s="336">
        <f t="shared" ref="AD49" si="76">AC49</f>
        <v>31751.200000000001</v>
      </c>
      <c r="AE49" s="336">
        <f t="shared" ref="AE49" si="77">AD49</f>
        <v>31751.200000000001</v>
      </c>
      <c r="AF49" s="336">
        <f t="shared" ref="AF49" si="78">AE49</f>
        <v>31751.200000000001</v>
      </c>
      <c r="AG49" s="336">
        <f t="shared" ref="AG49" si="79">AF49</f>
        <v>31751.200000000001</v>
      </c>
      <c r="AH49" s="336">
        <f t="shared" ref="AH49" si="80">AG49</f>
        <v>31751.200000000001</v>
      </c>
      <c r="AI49" s="336">
        <f t="shared" ref="AI49" si="81">AH49</f>
        <v>31751.200000000001</v>
      </c>
      <c r="AJ49" s="336">
        <f t="shared" ref="AJ49" si="82">AI49</f>
        <v>31751.200000000001</v>
      </c>
      <c r="AK49" s="336">
        <f t="shared" ref="AK49" si="83">AJ49</f>
        <v>31751.200000000001</v>
      </c>
      <c r="AL49" s="336">
        <f t="shared" ref="AL49" si="84">AK49</f>
        <v>31751.200000000001</v>
      </c>
      <c r="AM49" s="336">
        <f t="shared" ref="AM49" si="85">AL49</f>
        <v>31751.200000000001</v>
      </c>
      <c r="AN49" s="336">
        <f t="shared" ref="AN49" si="86">AM49</f>
        <v>31751.200000000001</v>
      </c>
      <c r="AO49" s="336">
        <f t="shared" ref="AO49" si="87">AN49</f>
        <v>31751.200000000001</v>
      </c>
      <c r="AP49" s="336">
        <f t="shared" ref="AP49" si="88">AO49</f>
        <v>31751.200000000001</v>
      </c>
      <c r="AQ49" s="336">
        <f t="shared" ref="AQ49" si="89">AP49</f>
        <v>31751.200000000001</v>
      </c>
      <c r="AR49" s="336">
        <f t="shared" ref="AR49" si="90">AQ49</f>
        <v>31751.200000000001</v>
      </c>
      <c r="AS49" s="71"/>
      <c r="AT49" s="71"/>
      <c r="AU49" s="384" t="s">
        <v>365</v>
      </c>
      <c r="AV49" s="109">
        <f>SUMIF('Сравнение Рх показателей'!A:A,'PL OFT_2'!AU49,'Сравнение Рх показателей'!C:C)-D49</f>
        <v>0</v>
      </c>
      <c r="AW49" s="71"/>
      <c r="AX49" s="71"/>
    </row>
    <row r="50" spans="1:50" s="56" customFormat="1" ht="21" hidden="1" customHeight="1" outlineLevel="1">
      <c r="A50" s="97" t="s">
        <v>368</v>
      </c>
      <c r="B50" s="529">
        <v>8000</v>
      </c>
      <c r="C50" s="348">
        <f>B50</f>
        <v>8000</v>
      </c>
      <c r="D50" s="336">
        <f t="shared" si="26"/>
        <v>400580.26875253837</v>
      </c>
      <c r="E50" s="336">
        <f t="shared" si="27"/>
        <v>824933.71898111387</v>
      </c>
      <c r="F50" s="336">
        <f t="shared" si="28"/>
        <v>1046602.4729152896</v>
      </c>
      <c r="G50" s="93">
        <f t="shared" si="51"/>
        <v>1.0593468608677856</v>
      </c>
      <c r="H50" s="93">
        <f>IFERROR(F50/E50-1,0)</f>
        <v>0.26871098711780328</v>
      </c>
      <c r="I50" s="87">
        <f>$C$50+I25*6%</f>
        <v>18219.636501993577</v>
      </c>
      <c r="J50" s="336">
        <f t="shared" ref="J50:AR50" si="91">$C$50+J25*6%</f>
        <v>20923.787793448249</v>
      </c>
      <c r="K50" s="336">
        <f t="shared" si="91"/>
        <v>26120.544070450858</v>
      </c>
      <c r="L50" s="336">
        <f t="shared" si="91"/>
        <v>28888.601676449969</v>
      </c>
      <c r="M50" s="336">
        <f t="shared" si="91"/>
        <v>33821.14729420295</v>
      </c>
      <c r="N50" s="336">
        <f t="shared" si="91"/>
        <v>36614.698049041472</v>
      </c>
      <c r="O50" s="336">
        <f t="shared" si="91"/>
        <v>39181.417882428592</v>
      </c>
      <c r="P50" s="336">
        <f t="shared" si="91"/>
        <v>39181.417882428592</v>
      </c>
      <c r="Q50" s="336">
        <f t="shared" si="91"/>
        <v>39362.087096904535</v>
      </c>
      <c r="R50" s="336">
        <f t="shared" si="91"/>
        <v>39362.087096904535</v>
      </c>
      <c r="S50" s="336">
        <f t="shared" si="91"/>
        <v>39452.421704142514</v>
      </c>
      <c r="T50" s="336">
        <f t="shared" si="91"/>
        <v>39452.421704142514</v>
      </c>
      <c r="U50" s="336">
        <f t="shared" si="91"/>
        <v>68634.870591644052</v>
      </c>
      <c r="V50" s="336">
        <f t="shared" si="91"/>
        <v>68634.870591644052</v>
      </c>
      <c r="W50" s="336">
        <f t="shared" si="91"/>
        <v>68634.870591644052</v>
      </c>
      <c r="X50" s="336">
        <f t="shared" si="91"/>
        <v>68634.870591644052</v>
      </c>
      <c r="Y50" s="336">
        <f t="shared" si="91"/>
        <v>68634.870591644052</v>
      </c>
      <c r="Z50" s="336">
        <f t="shared" si="91"/>
        <v>68822.766574699053</v>
      </c>
      <c r="AA50" s="336">
        <f t="shared" si="91"/>
        <v>68822.766574699053</v>
      </c>
      <c r="AB50" s="336">
        <f t="shared" si="91"/>
        <v>68822.766574699053</v>
      </c>
      <c r="AC50" s="336">
        <f t="shared" si="91"/>
        <v>68822.766574699053</v>
      </c>
      <c r="AD50" s="336">
        <f t="shared" si="91"/>
        <v>68822.766574699053</v>
      </c>
      <c r="AE50" s="336">
        <f t="shared" si="91"/>
        <v>68822.766574699053</v>
      </c>
      <c r="AF50" s="336">
        <f t="shared" si="91"/>
        <v>68822.766574699053</v>
      </c>
      <c r="AG50" s="336">
        <f t="shared" si="91"/>
        <v>89184.360488583829</v>
      </c>
      <c r="AH50" s="336">
        <f t="shared" si="91"/>
        <v>87038.01022060962</v>
      </c>
      <c r="AI50" s="336">
        <f t="shared" si="91"/>
        <v>87038.01022060962</v>
      </c>
      <c r="AJ50" s="336">
        <f t="shared" si="91"/>
        <v>87038.01022060962</v>
      </c>
      <c r="AK50" s="336">
        <f t="shared" si="91"/>
        <v>87038.01022060962</v>
      </c>
      <c r="AL50" s="336">
        <f t="shared" si="91"/>
        <v>87038.01022060962</v>
      </c>
      <c r="AM50" s="336">
        <f t="shared" si="91"/>
        <v>87038.01022060962</v>
      </c>
      <c r="AN50" s="336">
        <f t="shared" si="91"/>
        <v>87038.01022060962</v>
      </c>
      <c r="AO50" s="336">
        <f t="shared" si="91"/>
        <v>87038.01022060962</v>
      </c>
      <c r="AP50" s="336">
        <f t="shared" si="91"/>
        <v>87038.01022060962</v>
      </c>
      <c r="AQ50" s="336">
        <f t="shared" si="91"/>
        <v>87038.01022060962</v>
      </c>
      <c r="AR50" s="336">
        <f t="shared" si="91"/>
        <v>87038.01022060962</v>
      </c>
      <c r="AS50" s="71"/>
      <c r="AT50" s="71"/>
      <c r="AU50" s="384" t="s">
        <v>366</v>
      </c>
      <c r="AV50" s="109">
        <f>SUMIF('Сравнение Рх показателей'!A:A,'PL OFT_2'!AU50,'Сравнение Рх показателей'!C:C)-D50</f>
        <v>0</v>
      </c>
      <c r="AW50" s="71"/>
      <c r="AX50" s="71"/>
    </row>
    <row r="51" spans="1:50" s="56" customFormat="1" ht="21" hidden="1" customHeight="1" outlineLevel="1">
      <c r="A51" s="97" t="s">
        <v>13</v>
      </c>
      <c r="B51" s="120">
        <f>4534997.69/435287531.8</f>
        <v>1.0418395563150841E-2</v>
      </c>
      <c r="C51" s="532">
        <v>0.01</v>
      </c>
      <c r="D51" s="87">
        <f>SUMIF($I$7:$AR$7,$D$6,$I51:$AR51)</f>
        <v>2107306.0900000003</v>
      </c>
      <c r="E51" s="87">
        <f>SUMIF($I$7:$AR$7,$E$6,$I51:$AR51)</f>
        <v>4863145.2950000009</v>
      </c>
      <c r="F51" s="87">
        <f t="shared" ref="F51:F52" si="92">SUMIF($I$7:$AR$7,$F$6,$I51:$AR51)</f>
        <v>6478159.2590000015</v>
      </c>
      <c r="G51" s="93">
        <f t="shared" si="51"/>
        <v>1.307754586805185</v>
      </c>
      <c r="H51" s="93">
        <f t="shared" si="51"/>
        <v>0.33209247637747175</v>
      </c>
      <c r="I51" s="87">
        <f>$C$51*I8</f>
        <v>70706.820000000007</v>
      </c>
      <c r="J51" s="87">
        <f t="shared" ref="J51:AR51" si="93">$C$51*J8</f>
        <v>89416.09</v>
      </c>
      <c r="K51" s="87">
        <f t="shared" si="93"/>
        <v>125371</v>
      </c>
      <c r="L51" s="87">
        <f t="shared" si="93"/>
        <v>144522.42000000001</v>
      </c>
      <c r="M51" s="87">
        <f t="shared" si="93"/>
        <v>178649.33000000002</v>
      </c>
      <c r="N51" s="87">
        <f t="shared" si="93"/>
        <v>197977.13</v>
      </c>
      <c r="O51" s="87">
        <f t="shared" si="93"/>
        <v>215735.55000000002</v>
      </c>
      <c r="P51" s="87">
        <f t="shared" si="93"/>
        <v>215735.55000000002</v>
      </c>
      <c r="Q51" s="87">
        <f t="shared" si="93"/>
        <v>216985.55000000002</v>
      </c>
      <c r="R51" s="87">
        <f t="shared" si="93"/>
        <v>216985.55000000002</v>
      </c>
      <c r="S51" s="87">
        <f t="shared" si="93"/>
        <v>217610.55000000002</v>
      </c>
      <c r="T51" s="87">
        <f t="shared" si="93"/>
        <v>217610.55000000002</v>
      </c>
      <c r="U51" s="87">
        <f t="shared" si="54"/>
        <v>239371.60500000004</v>
      </c>
      <c r="V51" s="87">
        <f t="shared" si="93"/>
        <v>419515.79000000004</v>
      </c>
      <c r="W51" s="87">
        <f t="shared" si="93"/>
        <v>419515.79000000004</v>
      </c>
      <c r="X51" s="87">
        <f t="shared" si="93"/>
        <v>419515.79000000004</v>
      </c>
      <c r="Y51" s="87">
        <f t="shared" si="93"/>
        <v>419515.79000000004</v>
      </c>
      <c r="Z51" s="87">
        <f t="shared" si="93"/>
        <v>420815.79000000004</v>
      </c>
      <c r="AA51" s="87">
        <f t="shared" si="93"/>
        <v>420815.79000000004</v>
      </c>
      <c r="AB51" s="87">
        <f t="shared" si="93"/>
        <v>420815.79000000004</v>
      </c>
      <c r="AC51" s="87">
        <f t="shared" si="93"/>
        <v>420815.79000000004</v>
      </c>
      <c r="AD51" s="87">
        <f t="shared" si="93"/>
        <v>420815.79000000004</v>
      </c>
      <c r="AE51" s="87">
        <f t="shared" si="93"/>
        <v>420815.79000000004</v>
      </c>
      <c r="AF51" s="87">
        <f t="shared" si="93"/>
        <v>420815.79000000004</v>
      </c>
      <c r="AG51" s="87">
        <f t="shared" si="55"/>
        <v>462897.36900000006</v>
      </c>
      <c r="AH51" s="87">
        <f t="shared" si="93"/>
        <v>546841.99</v>
      </c>
      <c r="AI51" s="87">
        <f t="shared" si="93"/>
        <v>546841.99</v>
      </c>
      <c r="AJ51" s="87">
        <f t="shared" si="93"/>
        <v>546841.99</v>
      </c>
      <c r="AK51" s="87">
        <f t="shared" si="93"/>
        <v>546841.99</v>
      </c>
      <c r="AL51" s="87">
        <f t="shared" si="93"/>
        <v>546841.99</v>
      </c>
      <c r="AM51" s="87">
        <f t="shared" si="93"/>
        <v>546841.99</v>
      </c>
      <c r="AN51" s="87">
        <f t="shared" si="93"/>
        <v>546841.99</v>
      </c>
      <c r="AO51" s="87">
        <f t="shared" si="93"/>
        <v>546841.99</v>
      </c>
      <c r="AP51" s="87">
        <f t="shared" si="93"/>
        <v>546841.99</v>
      </c>
      <c r="AQ51" s="87">
        <f t="shared" si="93"/>
        <v>546841.99</v>
      </c>
      <c r="AR51" s="87">
        <f t="shared" si="93"/>
        <v>546841.99</v>
      </c>
      <c r="AS51" s="71"/>
      <c r="AT51" s="71"/>
      <c r="AU51" s="384" t="s">
        <v>367</v>
      </c>
      <c r="AV51" s="109">
        <f>SUMIF('Сравнение Рх показателей'!A:A,'PL OFT_2'!AU51,'Сравнение Рх показателей'!C:C)-D51</f>
        <v>0</v>
      </c>
      <c r="AW51" s="71"/>
      <c r="AX51" s="71"/>
    </row>
    <row r="52" spans="1:50" s="79" customFormat="1" ht="21" customHeight="1" collapsed="1">
      <c r="A52" s="107" t="s">
        <v>138</v>
      </c>
      <c r="B52" s="517"/>
      <c r="C52" s="518"/>
      <c r="D52" s="109" t="e">
        <f>SUMIF($I$7:$AR$7,$D$6,$I52:$AR52)</f>
        <v>#REF!</v>
      </c>
      <c r="E52" s="109" t="e">
        <f t="shared" ref="E52" si="94">SUMIF($I$7:$AR$7,$E$6,$I52:$AR52)</f>
        <v>#REF!</v>
      </c>
      <c r="F52" s="109" t="e">
        <f t="shared" si="92"/>
        <v>#REF!</v>
      </c>
      <c r="G52" s="110">
        <f>IFERROR(E52/D52-1,0)</f>
        <v>0</v>
      </c>
      <c r="H52" s="110">
        <f>IFERROR(F52/E52-1,0)</f>
        <v>0</v>
      </c>
      <c r="I52" s="109" t="e">
        <f>I16-I18-I23-I26</f>
        <v>#REF!</v>
      </c>
      <c r="J52" s="109" t="e">
        <f t="shared" ref="J52:AR52" si="95">J16-J18-J23-J26</f>
        <v>#REF!</v>
      </c>
      <c r="K52" s="109" t="e">
        <f t="shared" si="95"/>
        <v>#REF!</v>
      </c>
      <c r="L52" s="109" t="e">
        <f t="shared" si="95"/>
        <v>#REF!</v>
      </c>
      <c r="M52" s="109" t="e">
        <f t="shared" si="95"/>
        <v>#REF!</v>
      </c>
      <c r="N52" s="109" t="e">
        <f t="shared" si="95"/>
        <v>#REF!</v>
      </c>
      <c r="O52" s="109" t="e">
        <f t="shared" si="95"/>
        <v>#REF!</v>
      </c>
      <c r="P52" s="109" t="e">
        <f t="shared" si="95"/>
        <v>#REF!</v>
      </c>
      <c r="Q52" s="109" t="e">
        <f t="shared" si="95"/>
        <v>#REF!</v>
      </c>
      <c r="R52" s="109" t="e">
        <f t="shared" si="95"/>
        <v>#REF!</v>
      </c>
      <c r="S52" s="109" t="e">
        <f t="shared" si="95"/>
        <v>#REF!</v>
      </c>
      <c r="T52" s="109" t="e">
        <f t="shared" si="95"/>
        <v>#REF!</v>
      </c>
      <c r="U52" s="109" t="e">
        <f t="shared" si="95"/>
        <v>#REF!</v>
      </c>
      <c r="V52" s="109" t="e">
        <f t="shared" si="95"/>
        <v>#REF!</v>
      </c>
      <c r="W52" s="109" t="e">
        <f t="shared" si="95"/>
        <v>#REF!</v>
      </c>
      <c r="X52" s="109" t="e">
        <f t="shared" si="95"/>
        <v>#REF!</v>
      </c>
      <c r="Y52" s="109" t="e">
        <f t="shared" si="95"/>
        <v>#REF!</v>
      </c>
      <c r="Z52" s="109" t="e">
        <f t="shared" si="95"/>
        <v>#REF!</v>
      </c>
      <c r="AA52" s="109" t="e">
        <f t="shared" si="95"/>
        <v>#REF!</v>
      </c>
      <c r="AB52" s="109" t="e">
        <f t="shared" si="95"/>
        <v>#REF!</v>
      </c>
      <c r="AC52" s="109" t="e">
        <f t="shared" si="95"/>
        <v>#REF!</v>
      </c>
      <c r="AD52" s="109" t="e">
        <f t="shared" si="95"/>
        <v>#REF!</v>
      </c>
      <c r="AE52" s="109" t="e">
        <f t="shared" si="95"/>
        <v>#REF!</v>
      </c>
      <c r="AF52" s="109" t="e">
        <f t="shared" si="95"/>
        <v>#REF!</v>
      </c>
      <c r="AG52" s="109" t="e">
        <f t="shared" si="95"/>
        <v>#REF!</v>
      </c>
      <c r="AH52" s="109" t="e">
        <f t="shared" si="95"/>
        <v>#REF!</v>
      </c>
      <c r="AI52" s="109" t="e">
        <f t="shared" si="95"/>
        <v>#REF!</v>
      </c>
      <c r="AJ52" s="109" t="e">
        <f t="shared" si="95"/>
        <v>#REF!</v>
      </c>
      <c r="AK52" s="109" t="e">
        <f t="shared" si="95"/>
        <v>#REF!</v>
      </c>
      <c r="AL52" s="109" t="e">
        <f t="shared" si="95"/>
        <v>#REF!</v>
      </c>
      <c r="AM52" s="109" t="e">
        <f t="shared" si="95"/>
        <v>#REF!</v>
      </c>
      <c r="AN52" s="109" t="e">
        <f t="shared" si="95"/>
        <v>#REF!</v>
      </c>
      <c r="AO52" s="109" t="e">
        <f t="shared" si="95"/>
        <v>#REF!</v>
      </c>
      <c r="AP52" s="109" t="e">
        <f t="shared" si="95"/>
        <v>#REF!</v>
      </c>
      <c r="AQ52" s="109" t="e">
        <f t="shared" si="95"/>
        <v>#REF!</v>
      </c>
      <c r="AR52" s="109" t="e">
        <f t="shared" si="95"/>
        <v>#REF!</v>
      </c>
      <c r="AS52" s="71"/>
      <c r="AT52" s="71"/>
      <c r="AU52" s="384" t="s">
        <v>363</v>
      </c>
      <c r="AV52" s="109" t="e">
        <f>SUMIF('Сравнение Рх показателей'!A:A,'PL OFT_2'!AU52,'Сравнение Рх показателей'!C:C)-D52</f>
        <v>#REF!</v>
      </c>
      <c r="AW52" s="71"/>
      <c r="AX52" s="71"/>
    </row>
    <row r="53" spans="1:50" s="71" customFormat="1" ht="21" customHeight="1" collapsed="1">
      <c r="A53" s="98" t="s">
        <v>310</v>
      </c>
      <c r="B53" s="524"/>
      <c r="C53" s="533"/>
      <c r="D53" s="90" t="str">
        <f t="shared" ref="D53:F53" si="96">IFERROR(D52/D8,"")</f>
        <v/>
      </c>
      <c r="E53" s="90" t="str">
        <f t="shared" si="96"/>
        <v/>
      </c>
      <c r="F53" s="90" t="str">
        <f t="shared" si="96"/>
        <v/>
      </c>
      <c r="G53" s="91" t="e">
        <f>E53-D53</f>
        <v>#VALUE!</v>
      </c>
      <c r="H53" s="91" t="e">
        <f>F53-E53</f>
        <v>#VALUE!</v>
      </c>
      <c r="I53" s="90" t="str">
        <f t="shared" ref="I53:AR53" si="97">IFERROR(I52/I8,"")</f>
        <v/>
      </c>
      <c r="J53" s="90" t="str">
        <f t="shared" si="97"/>
        <v/>
      </c>
      <c r="K53" s="90" t="str">
        <f t="shared" si="97"/>
        <v/>
      </c>
      <c r="L53" s="90" t="str">
        <f t="shared" si="97"/>
        <v/>
      </c>
      <c r="M53" s="90" t="str">
        <f t="shared" si="97"/>
        <v/>
      </c>
      <c r="N53" s="90" t="str">
        <f t="shared" si="97"/>
        <v/>
      </c>
      <c r="O53" s="90" t="str">
        <f t="shared" si="97"/>
        <v/>
      </c>
      <c r="P53" s="90" t="str">
        <f t="shared" si="97"/>
        <v/>
      </c>
      <c r="Q53" s="90" t="str">
        <f t="shared" si="97"/>
        <v/>
      </c>
      <c r="R53" s="90" t="str">
        <f t="shared" si="97"/>
        <v/>
      </c>
      <c r="S53" s="90" t="str">
        <f t="shared" si="97"/>
        <v/>
      </c>
      <c r="T53" s="90" t="str">
        <f t="shared" si="97"/>
        <v/>
      </c>
      <c r="U53" s="90" t="str">
        <f t="shared" si="97"/>
        <v/>
      </c>
      <c r="V53" s="90" t="str">
        <f t="shared" si="97"/>
        <v/>
      </c>
      <c r="W53" s="90" t="str">
        <f t="shared" si="97"/>
        <v/>
      </c>
      <c r="X53" s="90" t="str">
        <f t="shared" si="97"/>
        <v/>
      </c>
      <c r="Y53" s="90" t="str">
        <f t="shared" si="97"/>
        <v/>
      </c>
      <c r="Z53" s="90" t="str">
        <f t="shared" si="97"/>
        <v/>
      </c>
      <c r="AA53" s="90" t="str">
        <f t="shared" si="97"/>
        <v/>
      </c>
      <c r="AB53" s="90" t="str">
        <f t="shared" si="97"/>
        <v/>
      </c>
      <c r="AC53" s="90" t="str">
        <f t="shared" si="97"/>
        <v/>
      </c>
      <c r="AD53" s="90" t="str">
        <f t="shared" si="97"/>
        <v/>
      </c>
      <c r="AE53" s="90" t="str">
        <f t="shared" si="97"/>
        <v/>
      </c>
      <c r="AF53" s="90" t="str">
        <f t="shared" si="97"/>
        <v/>
      </c>
      <c r="AG53" s="90" t="str">
        <f t="shared" si="97"/>
        <v/>
      </c>
      <c r="AH53" s="90" t="str">
        <f t="shared" si="97"/>
        <v/>
      </c>
      <c r="AI53" s="90" t="str">
        <f t="shared" si="97"/>
        <v/>
      </c>
      <c r="AJ53" s="90" t="str">
        <f t="shared" si="97"/>
        <v/>
      </c>
      <c r="AK53" s="90" t="str">
        <f t="shared" si="97"/>
        <v/>
      </c>
      <c r="AL53" s="90" t="str">
        <f t="shared" si="97"/>
        <v/>
      </c>
      <c r="AM53" s="90" t="str">
        <f t="shared" si="97"/>
        <v/>
      </c>
      <c r="AN53" s="90" t="str">
        <f t="shared" si="97"/>
        <v/>
      </c>
      <c r="AO53" s="90" t="str">
        <f t="shared" si="97"/>
        <v/>
      </c>
      <c r="AP53" s="90" t="str">
        <f t="shared" si="97"/>
        <v/>
      </c>
      <c r="AQ53" s="90" t="str">
        <f t="shared" si="97"/>
        <v/>
      </c>
      <c r="AR53" s="90" t="str">
        <f t="shared" si="97"/>
        <v/>
      </c>
      <c r="AV53" s="90"/>
    </row>
    <row r="54" spans="1:50" s="79" customFormat="1" ht="21" customHeight="1">
      <c r="A54" s="107" t="s">
        <v>41</v>
      </c>
      <c r="B54" s="517"/>
      <c r="C54" s="518"/>
      <c r="D54" s="109" t="e">
        <f>(D23+D26+D18)/(1-(D15+D10)/D8)</f>
        <v>#REF!</v>
      </c>
      <c r="E54" s="109" t="e">
        <f t="shared" ref="E54:F54" si="98">(E23+E26+E18)/(1-(E15+E10)/E8)</f>
        <v>#REF!</v>
      </c>
      <c r="F54" s="109" t="e">
        <f t="shared" si="98"/>
        <v>#REF!</v>
      </c>
      <c r="G54" s="110"/>
      <c r="H54" s="110"/>
      <c r="I54" s="109" t="e">
        <f>(I23+I26+I18)/(1-(I15+I10)/I8)</f>
        <v>#REF!</v>
      </c>
      <c r="J54" s="109" t="e">
        <f t="shared" ref="J54:AR54" si="99">(J23+J26+J18)/(1-(J15+J10)/J8)</f>
        <v>#REF!</v>
      </c>
      <c r="K54" s="109" t="e">
        <f t="shared" si="99"/>
        <v>#REF!</v>
      </c>
      <c r="L54" s="109" t="e">
        <f t="shared" si="99"/>
        <v>#REF!</v>
      </c>
      <c r="M54" s="109" t="e">
        <f t="shared" si="99"/>
        <v>#REF!</v>
      </c>
      <c r="N54" s="109" t="e">
        <f t="shared" si="99"/>
        <v>#REF!</v>
      </c>
      <c r="O54" s="109" t="e">
        <f t="shared" si="99"/>
        <v>#REF!</v>
      </c>
      <c r="P54" s="109" t="e">
        <f t="shared" si="99"/>
        <v>#REF!</v>
      </c>
      <c r="Q54" s="109" t="e">
        <f t="shared" si="99"/>
        <v>#REF!</v>
      </c>
      <c r="R54" s="109" t="e">
        <f t="shared" si="99"/>
        <v>#REF!</v>
      </c>
      <c r="S54" s="109" t="e">
        <f t="shared" si="99"/>
        <v>#REF!</v>
      </c>
      <c r="T54" s="109" t="e">
        <f t="shared" si="99"/>
        <v>#REF!</v>
      </c>
      <c r="U54" s="109" t="e">
        <f t="shared" si="99"/>
        <v>#REF!</v>
      </c>
      <c r="V54" s="109" t="e">
        <f t="shared" si="99"/>
        <v>#REF!</v>
      </c>
      <c r="W54" s="109" t="e">
        <f t="shared" si="99"/>
        <v>#REF!</v>
      </c>
      <c r="X54" s="109" t="e">
        <f t="shared" si="99"/>
        <v>#REF!</v>
      </c>
      <c r="Y54" s="109" t="e">
        <f t="shared" si="99"/>
        <v>#REF!</v>
      </c>
      <c r="Z54" s="109" t="e">
        <f t="shared" si="99"/>
        <v>#REF!</v>
      </c>
      <c r="AA54" s="109" t="e">
        <f t="shared" si="99"/>
        <v>#REF!</v>
      </c>
      <c r="AB54" s="109" t="e">
        <f t="shared" si="99"/>
        <v>#REF!</v>
      </c>
      <c r="AC54" s="109" t="e">
        <f t="shared" si="99"/>
        <v>#REF!</v>
      </c>
      <c r="AD54" s="109" t="e">
        <f t="shared" si="99"/>
        <v>#REF!</v>
      </c>
      <c r="AE54" s="109" t="e">
        <f t="shared" si="99"/>
        <v>#REF!</v>
      </c>
      <c r="AF54" s="109" t="e">
        <f t="shared" si="99"/>
        <v>#REF!</v>
      </c>
      <c r="AG54" s="109" t="e">
        <f t="shared" si="99"/>
        <v>#REF!</v>
      </c>
      <c r="AH54" s="109" t="e">
        <f t="shared" si="99"/>
        <v>#REF!</v>
      </c>
      <c r="AI54" s="109" t="e">
        <f t="shared" si="99"/>
        <v>#REF!</v>
      </c>
      <c r="AJ54" s="109" t="e">
        <f t="shared" si="99"/>
        <v>#REF!</v>
      </c>
      <c r="AK54" s="109" t="e">
        <f t="shared" si="99"/>
        <v>#REF!</v>
      </c>
      <c r="AL54" s="109" t="e">
        <f t="shared" si="99"/>
        <v>#REF!</v>
      </c>
      <c r="AM54" s="109" t="e">
        <f t="shared" si="99"/>
        <v>#REF!</v>
      </c>
      <c r="AN54" s="109" t="e">
        <f t="shared" si="99"/>
        <v>#REF!</v>
      </c>
      <c r="AO54" s="109" t="e">
        <f t="shared" si="99"/>
        <v>#REF!</v>
      </c>
      <c r="AP54" s="109" t="e">
        <f t="shared" si="99"/>
        <v>#REF!</v>
      </c>
      <c r="AQ54" s="109" t="e">
        <f t="shared" si="99"/>
        <v>#REF!</v>
      </c>
      <c r="AR54" s="109" t="e">
        <f t="shared" si="99"/>
        <v>#REF!</v>
      </c>
      <c r="AS54" s="71"/>
      <c r="AT54" s="71"/>
      <c r="AU54" s="71"/>
      <c r="AV54" s="109"/>
      <c r="AW54" s="71"/>
      <c r="AX54" s="71"/>
    </row>
    <row r="55" spans="1:50" s="79" customFormat="1" ht="21" customHeight="1" thickBot="1">
      <c r="A55" s="107" t="s">
        <v>42</v>
      </c>
      <c r="B55" s="534"/>
      <c r="C55" s="518"/>
      <c r="D55" s="109" t="e">
        <f>D54/'Revenue OFT_2'!E15</f>
        <v>#REF!</v>
      </c>
      <c r="E55" s="109" t="e">
        <f>E54/'Revenue OFT_2'!F15</f>
        <v>#REF!</v>
      </c>
      <c r="F55" s="109" t="e">
        <f>F54/'Revenue OFT_2'!G15</f>
        <v>#REF!</v>
      </c>
      <c r="G55" s="110"/>
      <c r="H55" s="110"/>
      <c r="I55" s="109" t="e">
        <f>I54/'Revenue OFT_2'!J15</f>
        <v>#REF!</v>
      </c>
      <c r="J55" s="109" t="e">
        <f>J54/'Revenue OFT_2'!K15</f>
        <v>#REF!</v>
      </c>
      <c r="K55" s="109" t="e">
        <f>K54/'Revenue OFT_2'!L15</f>
        <v>#REF!</v>
      </c>
      <c r="L55" s="109" t="e">
        <f>L54/'Revenue OFT_2'!M15</f>
        <v>#REF!</v>
      </c>
      <c r="M55" s="109" t="e">
        <f>M54/'Revenue OFT_2'!N15</f>
        <v>#REF!</v>
      </c>
      <c r="N55" s="109" t="e">
        <f>N54/'Revenue OFT_2'!O15</f>
        <v>#REF!</v>
      </c>
      <c r="O55" s="109" t="e">
        <f>O54/'Revenue OFT_2'!P15</f>
        <v>#REF!</v>
      </c>
      <c r="P55" s="109" t="e">
        <f>P54/'Revenue OFT_2'!Q15</f>
        <v>#REF!</v>
      </c>
      <c r="Q55" s="109" t="e">
        <f>Q54/'Revenue OFT_2'!R15</f>
        <v>#REF!</v>
      </c>
      <c r="R55" s="109" t="e">
        <f>R54/'Revenue OFT_2'!S15</f>
        <v>#REF!</v>
      </c>
      <c r="S55" s="109" t="e">
        <f>S54/'Revenue OFT_2'!T15</f>
        <v>#REF!</v>
      </c>
      <c r="T55" s="109" t="e">
        <f>T54/'Revenue OFT_2'!U15</f>
        <v>#REF!</v>
      </c>
      <c r="U55" s="109" t="e">
        <f>U54/'Revenue OFT_2'!V15</f>
        <v>#REF!</v>
      </c>
      <c r="V55" s="109" t="e">
        <f>V54/'Revenue OFT_2'!W15</f>
        <v>#REF!</v>
      </c>
      <c r="W55" s="109" t="e">
        <f>W54/'Revenue OFT_2'!X15</f>
        <v>#REF!</v>
      </c>
      <c r="X55" s="109" t="e">
        <f>X54/'Revenue OFT_2'!Y15</f>
        <v>#REF!</v>
      </c>
      <c r="Y55" s="109" t="e">
        <f>Y54/'Revenue OFT_2'!Z15</f>
        <v>#REF!</v>
      </c>
      <c r="Z55" s="109" t="e">
        <f>Z54/'Revenue OFT_2'!AA15</f>
        <v>#REF!</v>
      </c>
      <c r="AA55" s="109" t="e">
        <f>AA54/'Revenue OFT_2'!AB15</f>
        <v>#REF!</v>
      </c>
      <c r="AB55" s="109" t="e">
        <f>AB54/'Revenue OFT_2'!AC15</f>
        <v>#REF!</v>
      </c>
      <c r="AC55" s="109" t="e">
        <f>AC54/'Revenue OFT_2'!AD15</f>
        <v>#REF!</v>
      </c>
      <c r="AD55" s="109" t="e">
        <f>AD54/'Revenue OFT_2'!AE15</f>
        <v>#REF!</v>
      </c>
      <c r="AE55" s="109" t="e">
        <f>AE54/'Revenue OFT_2'!AF15</f>
        <v>#REF!</v>
      </c>
      <c r="AF55" s="109" t="e">
        <f>AF54/'Revenue OFT_2'!AG15</f>
        <v>#REF!</v>
      </c>
      <c r="AG55" s="109" t="e">
        <f>AG54/'Revenue OFT_2'!AH15</f>
        <v>#REF!</v>
      </c>
      <c r="AH55" s="109" t="e">
        <f>AH54/'Revenue OFT_2'!AI15</f>
        <v>#REF!</v>
      </c>
      <c r="AI55" s="109" t="e">
        <f>AI54/'Revenue OFT_2'!AJ15</f>
        <v>#REF!</v>
      </c>
      <c r="AJ55" s="109" t="e">
        <f>AJ54/'Revenue OFT_2'!AK15</f>
        <v>#REF!</v>
      </c>
      <c r="AK55" s="109" t="e">
        <f>AK54/'Revenue OFT_2'!AL15</f>
        <v>#REF!</v>
      </c>
      <c r="AL55" s="109" t="e">
        <f>AL54/'Revenue OFT_2'!AM15</f>
        <v>#REF!</v>
      </c>
      <c r="AM55" s="109" t="e">
        <f>AM54/'Revenue OFT_2'!AN15</f>
        <v>#REF!</v>
      </c>
      <c r="AN55" s="109" t="e">
        <f>AN54/'Revenue OFT_2'!AO15</f>
        <v>#REF!</v>
      </c>
      <c r="AO55" s="109" t="e">
        <f>AO54/'Revenue OFT_2'!AP15</f>
        <v>#REF!</v>
      </c>
      <c r="AP55" s="109" t="e">
        <f>AP54/'Revenue OFT_2'!AQ15</f>
        <v>#REF!</v>
      </c>
      <c r="AQ55" s="109" t="e">
        <f>AQ54/'Revenue OFT_2'!AR15</f>
        <v>#REF!</v>
      </c>
      <c r="AR55" s="109" t="e">
        <f>AR54/'Revenue OFT_2'!AS15</f>
        <v>#REF!</v>
      </c>
      <c r="AS55" s="71"/>
      <c r="AT55" s="71"/>
      <c r="AU55" s="71"/>
      <c r="AV55" s="109"/>
      <c r="AW55" s="71"/>
      <c r="AX55" s="71"/>
    </row>
    <row r="57" spans="1:50">
      <c r="D57" s="411"/>
    </row>
    <row r="58" spans="1:50">
      <c r="D58" s="411" t="e">
        <f t="shared" ref="D58:F58" si="100">D52-D8</f>
        <v>#REF!</v>
      </c>
      <c r="E58" s="411" t="e">
        <f t="shared" si="100"/>
        <v>#REF!</v>
      </c>
      <c r="F58" s="411" t="e">
        <f t="shared" si="100"/>
        <v>#REF!</v>
      </c>
      <c r="G58" s="411"/>
      <c r="H58" s="411"/>
      <c r="I58" s="411" t="e">
        <f>I52-I8</f>
        <v>#REF!</v>
      </c>
      <c r="J58" s="411" t="e">
        <f t="shared" ref="J58:AR58" si="101">J52-J8</f>
        <v>#REF!</v>
      </c>
      <c r="K58" s="411" t="e">
        <f t="shared" si="101"/>
        <v>#REF!</v>
      </c>
      <c r="L58" s="411" t="e">
        <f t="shared" si="101"/>
        <v>#REF!</v>
      </c>
      <c r="M58" s="411" t="e">
        <f t="shared" si="101"/>
        <v>#REF!</v>
      </c>
      <c r="N58" s="411" t="e">
        <f t="shared" si="101"/>
        <v>#REF!</v>
      </c>
      <c r="O58" s="411" t="e">
        <f t="shared" si="101"/>
        <v>#REF!</v>
      </c>
      <c r="P58" s="411" t="e">
        <f t="shared" si="101"/>
        <v>#REF!</v>
      </c>
      <c r="Q58" s="411" t="e">
        <f t="shared" si="101"/>
        <v>#REF!</v>
      </c>
      <c r="R58" s="411" t="e">
        <f t="shared" si="101"/>
        <v>#REF!</v>
      </c>
      <c r="S58" s="411" t="e">
        <f t="shared" si="101"/>
        <v>#REF!</v>
      </c>
      <c r="T58" s="411" t="e">
        <f t="shared" si="101"/>
        <v>#REF!</v>
      </c>
      <c r="U58" s="411" t="e">
        <f t="shared" si="101"/>
        <v>#REF!</v>
      </c>
      <c r="V58" s="411" t="e">
        <f t="shared" si="101"/>
        <v>#REF!</v>
      </c>
      <c r="W58" s="411" t="e">
        <f t="shared" si="101"/>
        <v>#REF!</v>
      </c>
      <c r="X58" s="411" t="e">
        <f t="shared" si="101"/>
        <v>#REF!</v>
      </c>
      <c r="Y58" s="411" t="e">
        <f t="shared" si="101"/>
        <v>#REF!</v>
      </c>
      <c r="Z58" s="411" t="e">
        <f t="shared" si="101"/>
        <v>#REF!</v>
      </c>
      <c r="AA58" s="411" t="e">
        <f t="shared" si="101"/>
        <v>#REF!</v>
      </c>
      <c r="AB58" s="411" t="e">
        <f t="shared" si="101"/>
        <v>#REF!</v>
      </c>
      <c r="AC58" s="411" t="e">
        <f t="shared" si="101"/>
        <v>#REF!</v>
      </c>
      <c r="AD58" s="411" t="e">
        <f t="shared" si="101"/>
        <v>#REF!</v>
      </c>
      <c r="AE58" s="411" t="e">
        <f t="shared" si="101"/>
        <v>#REF!</v>
      </c>
      <c r="AF58" s="411" t="e">
        <f t="shared" si="101"/>
        <v>#REF!</v>
      </c>
      <c r="AG58" s="411" t="e">
        <f t="shared" si="101"/>
        <v>#REF!</v>
      </c>
      <c r="AH58" s="411" t="e">
        <f t="shared" si="101"/>
        <v>#REF!</v>
      </c>
      <c r="AI58" s="411" t="e">
        <f t="shared" si="101"/>
        <v>#REF!</v>
      </c>
      <c r="AJ58" s="411" t="e">
        <f t="shared" si="101"/>
        <v>#REF!</v>
      </c>
      <c r="AK58" s="411" t="e">
        <f t="shared" si="101"/>
        <v>#REF!</v>
      </c>
      <c r="AL58" s="411" t="e">
        <f t="shared" si="101"/>
        <v>#REF!</v>
      </c>
      <c r="AM58" s="411" t="e">
        <f t="shared" si="101"/>
        <v>#REF!</v>
      </c>
      <c r="AN58" s="411" t="e">
        <f t="shared" si="101"/>
        <v>#REF!</v>
      </c>
      <c r="AO58" s="411" t="e">
        <f t="shared" si="101"/>
        <v>#REF!</v>
      </c>
      <c r="AP58" s="411" t="e">
        <f t="shared" si="101"/>
        <v>#REF!</v>
      </c>
      <c r="AQ58" s="411" t="e">
        <f t="shared" si="101"/>
        <v>#REF!</v>
      </c>
      <c r="AR58" s="411" t="e">
        <f t="shared" si="101"/>
        <v>#REF!</v>
      </c>
    </row>
    <row r="59" spans="1:50">
      <c r="A59" s="72" t="s">
        <v>274</v>
      </c>
      <c r="B59" s="546">
        <f>SUM(B60)/12/'Сравнение Рх показателей'!H18</f>
        <v>263.19629487947128</v>
      </c>
      <c r="D59" s="411" t="e">
        <f t="shared" ref="D59:F59" si="102">SUM(D11,D15,D19:D21,D24:D25,D27,D30:D31,D34:D43,D49:D51)</f>
        <v>#REF!</v>
      </c>
      <c r="E59" s="411" t="e">
        <f t="shared" si="102"/>
        <v>#REF!</v>
      </c>
      <c r="F59" s="411" t="e">
        <f t="shared" si="102"/>
        <v>#REF!</v>
      </c>
      <c r="G59" s="411"/>
      <c r="H59" s="411"/>
      <c r="I59" s="411" t="e">
        <f>SUM(I11,I15,I19:I21,I24:I25,I27,I30:I31,I34:I43,I49:I51)</f>
        <v>#REF!</v>
      </c>
      <c r="J59" s="411" t="e">
        <f t="shared" ref="J59:AR59" si="103">SUM(J11,J15,J19:J21,J24:J25,J27,J30:J31,J34:J43,J49:J51)</f>
        <v>#REF!</v>
      </c>
      <c r="K59" s="411" t="e">
        <f t="shared" si="103"/>
        <v>#REF!</v>
      </c>
      <c r="L59" s="411" t="e">
        <f t="shared" si="103"/>
        <v>#REF!</v>
      </c>
      <c r="M59" s="411" t="e">
        <f t="shared" si="103"/>
        <v>#REF!</v>
      </c>
      <c r="N59" s="411" t="e">
        <f t="shared" si="103"/>
        <v>#REF!</v>
      </c>
      <c r="O59" s="411" t="e">
        <f t="shared" si="103"/>
        <v>#REF!</v>
      </c>
      <c r="P59" s="411" t="e">
        <f t="shared" si="103"/>
        <v>#REF!</v>
      </c>
      <c r="Q59" s="411" t="e">
        <f t="shared" si="103"/>
        <v>#REF!</v>
      </c>
      <c r="R59" s="411" t="e">
        <f t="shared" si="103"/>
        <v>#REF!</v>
      </c>
      <c r="S59" s="411" t="e">
        <f t="shared" si="103"/>
        <v>#REF!</v>
      </c>
      <c r="T59" s="411" t="e">
        <f t="shared" si="103"/>
        <v>#REF!</v>
      </c>
      <c r="U59" s="411" t="e">
        <f t="shared" si="103"/>
        <v>#REF!</v>
      </c>
      <c r="V59" s="411" t="e">
        <f t="shared" si="103"/>
        <v>#REF!</v>
      </c>
      <c r="W59" s="411" t="e">
        <f t="shared" si="103"/>
        <v>#REF!</v>
      </c>
      <c r="X59" s="411" t="e">
        <f t="shared" si="103"/>
        <v>#REF!</v>
      </c>
      <c r="Y59" s="411" t="e">
        <f t="shared" si="103"/>
        <v>#REF!</v>
      </c>
      <c r="Z59" s="411" t="e">
        <f t="shared" si="103"/>
        <v>#REF!</v>
      </c>
      <c r="AA59" s="411" t="e">
        <f t="shared" si="103"/>
        <v>#REF!</v>
      </c>
      <c r="AB59" s="411" t="e">
        <f t="shared" si="103"/>
        <v>#REF!</v>
      </c>
      <c r="AC59" s="411" t="e">
        <f t="shared" si="103"/>
        <v>#REF!</v>
      </c>
      <c r="AD59" s="411" t="e">
        <f t="shared" si="103"/>
        <v>#REF!</v>
      </c>
      <c r="AE59" s="411" t="e">
        <f t="shared" si="103"/>
        <v>#REF!</v>
      </c>
      <c r="AF59" s="411" t="e">
        <f t="shared" si="103"/>
        <v>#REF!</v>
      </c>
      <c r="AG59" s="411" t="e">
        <f t="shared" si="103"/>
        <v>#REF!</v>
      </c>
      <c r="AH59" s="411" t="e">
        <f t="shared" si="103"/>
        <v>#REF!</v>
      </c>
      <c r="AI59" s="411" t="e">
        <f t="shared" si="103"/>
        <v>#REF!</v>
      </c>
      <c r="AJ59" s="411" t="e">
        <f t="shared" si="103"/>
        <v>#REF!</v>
      </c>
      <c r="AK59" s="411" t="e">
        <f t="shared" si="103"/>
        <v>#REF!</v>
      </c>
      <c r="AL59" s="411" t="e">
        <f t="shared" si="103"/>
        <v>#REF!</v>
      </c>
      <c r="AM59" s="411" t="e">
        <f t="shared" si="103"/>
        <v>#REF!</v>
      </c>
      <c r="AN59" s="411" t="e">
        <f t="shared" si="103"/>
        <v>#REF!</v>
      </c>
      <c r="AO59" s="411" t="e">
        <f t="shared" si="103"/>
        <v>#REF!</v>
      </c>
      <c r="AP59" s="411" t="e">
        <f t="shared" si="103"/>
        <v>#REF!</v>
      </c>
      <c r="AQ59" s="411" t="e">
        <f t="shared" si="103"/>
        <v>#REF!</v>
      </c>
      <c r="AR59" s="411" t="e">
        <f t="shared" si="103"/>
        <v>#REF!</v>
      </c>
    </row>
    <row r="60" spans="1:50">
      <c r="A60" s="72" t="s">
        <v>4</v>
      </c>
      <c r="B60" s="529">
        <f>SUM(B61:B65)</f>
        <v>4747324.209999999</v>
      </c>
    </row>
    <row r="61" spans="1:50">
      <c r="A61" s="72" t="s">
        <v>318</v>
      </c>
      <c r="B61" s="529">
        <v>2185913.7999999998</v>
      </c>
    </row>
    <row r="62" spans="1:50">
      <c r="A62" s="72" t="s">
        <v>319</v>
      </c>
      <c r="B62" s="529">
        <v>1860783.6099999999</v>
      </c>
    </row>
    <row r="63" spans="1:50">
      <c r="A63" s="72" t="s">
        <v>320</v>
      </c>
      <c r="B63" s="529">
        <v>30738</v>
      </c>
    </row>
    <row r="64" spans="1:50">
      <c r="A64" s="72" t="s">
        <v>321</v>
      </c>
      <c r="B64" s="529">
        <v>75068.799999999988</v>
      </c>
    </row>
    <row r="65" spans="1:2">
      <c r="A65" s="72" t="s">
        <v>322</v>
      </c>
      <c r="B65" s="529">
        <v>594820</v>
      </c>
    </row>
    <row r="67" spans="1:2">
      <c r="A67" s="72" t="s">
        <v>324</v>
      </c>
      <c r="B67" s="529">
        <v>2975205.9099999992</v>
      </c>
    </row>
    <row r="68" spans="1:2">
      <c r="A68" s="72" t="s">
        <v>323</v>
      </c>
      <c r="B68" s="529">
        <v>142481.13</v>
      </c>
    </row>
    <row r="69" spans="1:2">
      <c r="A69" s="72" t="s">
        <v>327</v>
      </c>
      <c r="B69" s="529">
        <v>249192.99000000002</v>
      </c>
    </row>
    <row r="70" spans="1:2">
      <c r="A70" s="72" t="s">
        <v>328</v>
      </c>
      <c r="B70" s="529">
        <v>238623.81</v>
      </c>
    </row>
    <row r="71" spans="1:2">
      <c r="A71" s="72" t="s">
        <v>329</v>
      </c>
      <c r="B71" s="529">
        <v>134003.39000000001</v>
      </c>
    </row>
    <row r="72" spans="1:2">
      <c r="A72" s="548" t="s">
        <v>413</v>
      </c>
      <c r="B72" s="549">
        <v>73101.34</v>
      </c>
    </row>
    <row r="73" spans="1:2">
      <c r="A73" s="548" t="s">
        <v>414</v>
      </c>
      <c r="B73" s="549">
        <v>1230105.1399999999</v>
      </c>
    </row>
    <row r="74" spans="1:2">
      <c r="A74" s="548" t="s">
        <v>330</v>
      </c>
      <c r="B74" s="549">
        <v>27910</v>
      </c>
    </row>
    <row r="75" spans="1:2">
      <c r="A75" s="72" t="s">
        <v>331</v>
      </c>
      <c r="B75" s="529">
        <v>117838.32</v>
      </c>
    </row>
    <row r="76" spans="1:2">
      <c r="A76" s="72" t="s">
        <v>415</v>
      </c>
      <c r="B76" s="529">
        <v>283530.49</v>
      </c>
    </row>
    <row r="77" spans="1:2">
      <c r="A77" s="72" t="s">
        <v>332</v>
      </c>
      <c r="B77" s="529">
        <v>133278.5</v>
      </c>
    </row>
    <row r="78" spans="1:2">
      <c r="A78" s="72" t="s">
        <v>333</v>
      </c>
      <c r="B78" s="529">
        <v>345140.8</v>
      </c>
    </row>
  </sheetData>
  <conditionalFormatting sqref="I19:AR20">
    <cfRule type="cellIs" dxfId="162" priority="146" operator="equal">
      <formula>0</formula>
    </cfRule>
  </conditionalFormatting>
  <conditionalFormatting sqref="I17:T17 I14:T14 I37:T37 I24:T24 I28:T29 I21:T21 J27:T27 I25:AR25 I31:AR31">
    <cfRule type="cellIs" dxfId="161" priority="145" operator="equal">
      <formula>0</formula>
    </cfRule>
  </conditionalFormatting>
  <conditionalFormatting sqref="I18:AR18">
    <cfRule type="cellIs" dxfId="160" priority="144" operator="equal">
      <formula>0</formula>
    </cfRule>
  </conditionalFormatting>
  <conditionalFormatting sqref="I23:AR23">
    <cfRule type="cellIs" dxfId="159" priority="143" operator="equal">
      <formula>0</formula>
    </cfRule>
  </conditionalFormatting>
  <conditionalFormatting sqref="I26:AR26">
    <cfRule type="cellIs" dxfId="158" priority="142" operator="equal">
      <formula>0</formula>
    </cfRule>
  </conditionalFormatting>
  <conditionalFormatting sqref="I53:T53">
    <cfRule type="cellIs" dxfId="157" priority="141" operator="equal">
      <formula>0</formula>
    </cfRule>
  </conditionalFormatting>
  <conditionalFormatting sqref="I7:T7">
    <cfRule type="cellIs" dxfId="156" priority="140" operator="equal">
      <formula>0</formula>
    </cfRule>
  </conditionalFormatting>
  <conditionalFormatting sqref="I36:T36">
    <cfRule type="cellIs" dxfId="155" priority="137" operator="equal">
      <formula>0</formula>
    </cfRule>
  </conditionalFormatting>
  <conditionalFormatting sqref="I38:T42">
    <cfRule type="cellIs" dxfId="154" priority="136" operator="equal">
      <formula>0</formula>
    </cfRule>
  </conditionalFormatting>
  <conditionalFormatting sqref="I32:T33">
    <cfRule type="cellIs" dxfId="153" priority="139" operator="equal">
      <formula>0</formula>
    </cfRule>
  </conditionalFormatting>
  <conditionalFormatting sqref="I51:T51 I44:T48 I49:AR50">
    <cfRule type="cellIs" dxfId="152" priority="135" operator="equal">
      <formula>0</formula>
    </cfRule>
  </conditionalFormatting>
  <conditionalFormatting sqref="I35:T35 I34:AR34">
    <cfRule type="cellIs" dxfId="151" priority="138" operator="equal">
      <formula>0</formula>
    </cfRule>
  </conditionalFormatting>
  <conditionalFormatting sqref="I30:T30">
    <cfRule type="cellIs" dxfId="150" priority="134" operator="equal">
      <formula>0</formula>
    </cfRule>
  </conditionalFormatting>
  <conditionalFormatting sqref="G8:H8">
    <cfRule type="cellIs" dxfId="149" priority="129" operator="equal">
      <formula>0</formula>
    </cfRule>
  </conditionalFormatting>
  <conditionalFormatting sqref="D7">
    <cfRule type="cellIs" dxfId="148" priority="133" operator="equal">
      <formula>0</formula>
    </cfRule>
  </conditionalFormatting>
  <conditionalFormatting sqref="E7">
    <cfRule type="cellIs" dxfId="147" priority="132" operator="equal">
      <formula>0</formula>
    </cfRule>
  </conditionalFormatting>
  <conditionalFormatting sqref="F7">
    <cfRule type="cellIs" dxfId="146" priority="131" operator="equal">
      <formula>0</formula>
    </cfRule>
  </conditionalFormatting>
  <conditionalFormatting sqref="G7:H7">
    <cfRule type="cellIs" dxfId="145" priority="130" operator="equal">
      <formula>0</formula>
    </cfRule>
  </conditionalFormatting>
  <conditionalFormatting sqref="I10:AR10">
    <cfRule type="cellIs" dxfId="144" priority="126" operator="equal">
      <formula>0</formula>
    </cfRule>
  </conditionalFormatting>
  <conditionalFormatting sqref="D17 D14 D28:D29">
    <cfRule type="cellIs" dxfId="143" priority="125" operator="equal">
      <formula>0</formula>
    </cfRule>
  </conditionalFormatting>
  <conditionalFormatting sqref="D18">
    <cfRule type="cellIs" dxfId="142" priority="124" operator="equal">
      <formula>0</formula>
    </cfRule>
  </conditionalFormatting>
  <conditionalFormatting sqref="I9:T9">
    <cfRule type="cellIs" dxfId="141" priority="128" operator="equal">
      <formula>0</formula>
    </cfRule>
  </conditionalFormatting>
  <conditionalFormatting sqref="I11:AR12">
    <cfRule type="cellIs" dxfId="140" priority="127" operator="equal">
      <formula>0</formula>
    </cfRule>
  </conditionalFormatting>
  <conditionalFormatting sqref="D9">
    <cfRule type="cellIs" dxfId="139" priority="115" operator="equal">
      <formula>0</formula>
    </cfRule>
  </conditionalFormatting>
  <conditionalFormatting sqref="D30:D51">
    <cfRule type="cellIs" dxfId="138" priority="117" operator="equal">
      <formula>0</formula>
    </cfRule>
  </conditionalFormatting>
  <conditionalFormatting sqref="D11:D12">
    <cfRule type="cellIs" dxfId="137" priority="114" operator="equal">
      <formula>0</formula>
    </cfRule>
  </conditionalFormatting>
  <conditionalFormatting sqref="D10">
    <cfRule type="cellIs" dxfId="136" priority="113" operator="equal">
      <formula>0</formula>
    </cfRule>
  </conditionalFormatting>
  <conditionalFormatting sqref="D26">
    <cfRule type="cellIs" dxfId="135" priority="123" operator="equal">
      <formula>0</formula>
    </cfRule>
  </conditionalFormatting>
  <conditionalFormatting sqref="D53">
    <cfRule type="cellIs" dxfId="134" priority="122" operator="equal">
      <formula>0</formula>
    </cfRule>
  </conditionalFormatting>
  <conditionalFormatting sqref="E17:F17 E14:F14 E24:F25 E27:F29">
    <cfRule type="cellIs" dxfId="133" priority="112" operator="equal">
      <formula>0</formula>
    </cfRule>
  </conditionalFormatting>
  <conditionalFormatting sqref="E18:F18">
    <cfRule type="cellIs" dxfId="132" priority="111" operator="equal">
      <formula>0</formula>
    </cfRule>
  </conditionalFormatting>
  <conditionalFormatting sqref="E9:F9">
    <cfRule type="cellIs" dxfId="131" priority="102" operator="equal">
      <formula>0</formula>
    </cfRule>
  </conditionalFormatting>
  <conditionalFormatting sqref="E26:F26">
    <cfRule type="cellIs" dxfId="130" priority="110" operator="equal">
      <formula>0</formula>
    </cfRule>
  </conditionalFormatting>
  <conditionalFormatting sqref="E53:F53">
    <cfRule type="cellIs" dxfId="129" priority="109" operator="equal">
      <formula>0</formula>
    </cfRule>
  </conditionalFormatting>
  <conditionalFormatting sqref="E30:F51">
    <cfRule type="cellIs" dxfId="128" priority="104" operator="equal">
      <formula>0</formula>
    </cfRule>
  </conditionalFormatting>
  <conditionalFormatting sqref="E11:F12">
    <cfRule type="cellIs" dxfId="127" priority="101" operator="equal">
      <formula>0</formula>
    </cfRule>
  </conditionalFormatting>
  <conditionalFormatting sqref="E10:F10">
    <cfRule type="cellIs" dxfId="126" priority="100" operator="equal">
      <formula>0</formula>
    </cfRule>
  </conditionalFormatting>
  <conditionalFormatting sqref="D23">
    <cfRule type="cellIs" dxfId="125" priority="94" operator="equal">
      <formula>0</formula>
    </cfRule>
  </conditionalFormatting>
  <conditionalFormatting sqref="D19:D21">
    <cfRule type="cellIs" dxfId="124" priority="99" operator="equal">
      <formula>0</formula>
    </cfRule>
  </conditionalFormatting>
  <conditionalFormatting sqref="E19:F21">
    <cfRule type="cellIs" dxfId="123" priority="98" operator="equal">
      <formula>0</formula>
    </cfRule>
  </conditionalFormatting>
  <conditionalFormatting sqref="I43:AR43">
    <cfRule type="cellIs" dxfId="122" priority="97" operator="equal">
      <formula>0</formula>
    </cfRule>
  </conditionalFormatting>
  <conditionalFormatting sqref="E23:F23">
    <cfRule type="cellIs" dxfId="121" priority="93" operator="equal">
      <formula>0</formula>
    </cfRule>
  </conditionalFormatting>
  <conditionalFormatting sqref="D15">
    <cfRule type="cellIs" dxfId="120" priority="92" operator="equal">
      <formula>0</formula>
    </cfRule>
  </conditionalFormatting>
  <conditionalFormatting sqref="E15:F15">
    <cfRule type="cellIs" dxfId="119" priority="91" operator="equal">
      <formula>0</formula>
    </cfRule>
  </conditionalFormatting>
  <conditionalFormatting sqref="G13:H13">
    <cfRule type="cellIs" dxfId="118" priority="90" operator="equal">
      <formula>0</formula>
    </cfRule>
  </conditionalFormatting>
  <conditionalFormatting sqref="G16:H16">
    <cfRule type="cellIs" dxfId="117" priority="89" operator="equal">
      <formula>0</formula>
    </cfRule>
  </conditionalFormatting>
  <conditionalFormatting sqref="G52:H52">
    <cfRule type="cellIs" dxfId="116" priority="88" operator="equal">
      <formula>0</formula>
    </cfRule>
  </conditionalFormatting>
  <conditionalFormatting sqref="G54:H55">
    <cfRule type="cellIs" dxfId="115" priority="87" operator="equal">
      <formula>0</formula>
    </cfRule>
  </conditionalFormatting>
  <conditionalFormatting sqref="I22:T22">
    <cfRule type="cellIs" dxfId="114" priority="86" operator="equal">
      <formula>0</formula>
    </cfRule>
  </conditionalFormatting>
  <conditionalFormatting sqref="D22">
    <cfRule type="cellIs" dxfId="113" priority="85" operator="equal">
      <formula>0</formula>
    </cfRule>
  </conditionalFormatting>
  <conditionalFormatting sqref="E22:F22">
    <cfRule type="cellIs" dxfId="112" priority="84" operator="equal">
      <formula>0</formula>
    </cfRule>
  </conditionalFormatting>
  <conditionalFormatting sqref="I15:AR15">
    <cfRule type="cellIs" dxfId="111" priority="83" operator="equal">
      <formula>0</formula>
    </cfRule>
  </conditionalFormatting>
  <conditionalFormatting sqref="U17:AR17 U14:AR14 U37:AR37 U24:AR24 U27:AR29 U21:AR21">
    <cfRule type="cellIs" dxfId="110" priority="81" operator="equal">
      <formula>0</formula>
    </cfRule>
  </conditionalFormatting>
  <conditionalFormatting sqref="U53:AR53">
    <cfRule type="cellIs" dxfId="109" priority="77" operator="equal">
      <formula>0</formula>
    </cfRule>
  </conditionalFormatting>
  <conditionalFormatting sqref="U7:AR7">
    <cfRule type="cellIs" dxfId="108" priority="76" operator="equal">
      <formula>0</formula>
    </cfRule>
  </conditionalFormatting>
  <conditionalFormatting sqref="U32:AR33">
    <cfRule type="cellIs" dxfId="107" priority="75" operator="equal">
      <formula>0</formula>
    </cfRule>
  </conditionalFormatting>
  <conditionalFormatting sqref="U44:AR48 U51:AR51">
    <cfRule type="cellIs" dxfId="106" priority="71" operator="equal">
      <formula>0</formula>
    </cfRule>
  </conditionalFormatting>
  <conditionalFormatting sqref="U35:AR35">
    <cfRule type="cellIs" dxfId="105" priority="74" operator="equal">
      <formula>0</formula>
    </cfRule>
  </conditionalFormatting>
  <conditionalFormatting sqref="U36:AR36">
    <cfRule type="cellIs" dxfId="104" priority="73" operator="equal">
      <formula>0</formula>
    </cfRule>
  </conditionalFormatting>
  <conditionalFormatting sqref="U38:AR42">
    <cfRule type="cellIs" dxfId="103" priority="72" operator="equal">
      <formula>0</formula>
    </cfRule>
  </conditionalFormatting>
  <conditionalFormatting sqref="U30:AR30">
    <cfRule type="cellIs" dxfId="102" priority="70" operator="equal">
      <formula>0</formula>
    </cfRule>
  </conditionalFormatting>
  <conditionalFormatting sqref="U9:AR9">
    <cfRule type="cellIs" dxfId="101" priority="69" operator="equal">
      <formula>0</formula>
    </cfRule>
  </conditionalFormatting>
  <conditionalFormatting sqref="U22:AR22">
    <cfRule type="cellIs" dxfId="100" priority="65" operator="equal">
      <formula>0</formula>
    </cfRule>
  </conditionalFormatting>
  <conditionalFormatting sqref="I27">
    <cfRule type="cellIs" dxfId="99" priority="24" operator="equal">
      <formula>0</formula>
    </cfRule>
  </conditionalFormatting>
  <conditionalFormatting sqref="AV7">
    <cfRule type="cellIs" dxfId="98" priority="21" operator="equal">
      <formula>0</formula>
    </cfRule>
  </conditionalFormatting>
  <conditionalFormatting sqref="AV53">
    <cfRule type="cellIs" dxfId="97" priority="17" operator="equal">
      <formula>0</formula>
    </cfRule>
  </conditionalFormatting>
  <conditionalFormatting sqref="D27">
    <cfRule type="cellIs" dxfId="96" priority="2" operator="equal">
      <formula>0</formula>
    </cfRule>
  </conditionalFormatting>
  <conditionalFormatting sqref="D24:D25">
    <cfRule type="cellIs" dxfId="95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4:AW96"/>
  <sheetViews>
    <sheetView showGridLines="0" zoomScale="80" zoomScaleNormal="80" workbookViewId="0">
      <pane xSplit="4" ySplit="8" topLeftCell="E32" activePane="bottomRight" state="frozen"/>
      <selection activeCell="N63" sqref="N63"/>
      <selection pane="topRight" activeCell="N63" sqref="N63"/>
      <selection pane="bottomLeft" activeCell="N63" sqref="N63"/>
      <selection pane="bottomRight" activeCell="A26" sqref="A26:XFD26"/>
    </sheetView>
  </sheetViews>
  <sheetFormatPr defaultColWidth="8.6640625" defaultRowHeight="13.8" outlineLevelRow="1" outlineLevelCol="1"/>
  <cols>
    <col min="1" max="1" width="46.6640625" style="453" customWidth="1"/>
    <col min="2" max="4" width="14.44140625" style="454" customWidth="1" outlineLevel="1"/>
    <col min="5" max="7" width="16.33203125" style="455" customWidth="1"/>
    <col min="8" max="8" width="14.6640625" style="455" bestFit="1" customWidth="1"/>
    <col min="9" max="9" width="12.44140625" style="455" customWidth="1"/>
    <col min="10" max="11" width="14.44140625" style="456" customWidth="1" outlineLevel="1"/>
    <col min="12" max="13" width="14.6640625" style="456" customWidth="1" outlineLevel="1"/>
    <col min="14" max="15" width="12.33203125" style="456" customWidth="1" outlineLevel="1"/>
    <col min="16" max="20" width="12.6640625" style="456" customWidth="1" outlineLevel="1"/>
    <col min="21" max="21" width="13.33203125" style="456" customWidth="1" outlineLevel="1"/>
    <col min="22" max="33" width="12.6640625" style="456" customWidth="1" outlineLevel="1"/>
    <col min="34" max="34" width="13.6640625" style="456" customWidth="1" outlineLevel="1"/>
    <col min="35" max="37" width="15" style="456" customWidth="1" outlineLevel="1"/>
    <col min="38" max="44" width="15" style="457" customWidth="1" outlineLevel="1"/>
    <col min="45" max="45" width="13.6640625" style="457" customWidth="1" outlineLevel="1"/>
    <col min="46" max="46" width="27.6640625" style="458" customWidth="1"/>
    <col min="47" max="47" width="9.6640625" style="457" bestFit="1" customWidth="1"/>
    <col min="48" max="48" width="9.33203125" style="457" bestFit="1" customWidth="1"/>
    <col min="49" max="49" width="9.6640625" style="457" bestFit="1" customWidth="1"/>
    <col min="50" max="261" width="8.6640625" style="293"/>
    <col min="262" max="262" width="9.33203125" style="293" customWidth="1"/>
    <col min="263" max="263" width="29.6640625" style="293" customWidth="1"/>
    <col min="264" max="265" width="12.6640625" style="293" customWidth="1"/>
    <col min="266" max="266" width="13.6640625" style="293" bestFit="1" customWidth="1"/>
    <col min="267" max="271" width="12.33203125" style="293" bestFit="1" customWidth="1"/>
    <col min="272" max="276" width="12.6640625" style="293" bestFit="1" customWidth="1"/>
    <col min="277" max="277" width="13.33203125" style="293" bestFit="1" customWidth="1"/>
    <col min="278" max="297" width="12.6640625" style="293" bestFit="1" customWidth="1"/>
    <col min="298" max="299" width="13.33203125" style="293" bestFit="1" customWidth="1"/>
    <col min="300" max="300" width="11.33203125" style="293" customWidth="1"/>
    <col min="301" max="301" width="13.44140625" style="293" bestFit="1" customWidth="1"/>
    <col min="302" max="517" width="8.6640625" style="293"/>
    <col min="518" max="518" width="9.33203125" style="293" customWidth="1"/>
    <col min="519" max="519" width="29.6640625" style="293" customWidth="1"/>
    <col min="520" max="521" width="12.6640625" style="293" customWidth="1"/>
    <col min="522" max="522" width="13.6640625" style="293" bestFit="1" customWidth="1"/>
    <col min="523" max="527" width="12.33203125" style="293" bestFit="1" customWidth="1"/>
    <col min="528" max="532" width="12.6640625" style="293" bestFit="1" customWidth="1"/>
    <col min="533" max="533" width="13.33203125" style="293" bestFit="1" customWidth="1"/>
    <col min="534" max="553" width="12.6640625" style="293" bestFit="1" customWidth="1"/>
    <col min="554" max="555" width="13.33203125" style="293" bestFit="1" customWidth="1"/>
    <col min="556" max="556" width="11.33203125" style="293" customWidth="1"/>
    <col min="557" max="557" width="13.44140625" style="293" bestFit="1" customWidth="1"/>
    <col min="558" max="773" width="8.6640625" style="293"/>
    <col min="774" max="774" width="9.33203125" style="293" customWidth="1"/>
    <col min="775" max="775" width="29.6640625" style="293" customWidth="1"/>
    <col min="776" max="777" width="12.6640625" style="293" customWidth="1"/>
    <col min="778" max="778" width="13.6640625" style="293" bestFit="1" customWidth="1"/>
    <col min="779" max="783" width="12.33203125" style="293" bestFit="1" customWidth="1"/>
    <col min="784" max="788" width="12.6640625" style="293" bestFit="1" customWidth="1"/>
    <col min="789" max="789" width="13.33203125" style="293" bestFit="1" customWidth="1"/>
    <col min="790" max="809" width="12.6640625" style="293" bestFit="1" customWidth="1"/>
    <col min="810" max="811" width="13.33203125" style="293" bestFit="1" customWidth="1"/>
    <col min="812" max="812" width="11.33203125" style="293" customWidth="1"/>
    <col min="813" max="813" width="13.44140625" style="293" bestFit="1" customWidth="1"/>
    <col min="814" max="1029" width="8.6640625" style="293"/>
    <col min="1030" max="1030" width="9.33203125" style="293" customWidth="1"/>
    <col min="1031" max="1031" width="29.6640625" style="293" customWidth="1"/>
    <col min="1032" max="1033" width="12.6640625" style="293" customWidth="1"/>
    <col min="1034" max="1034" width="13.6640625" style="293" bestFit="1" customWidth="1"/>
    <col min="1035" max="1039" width="12.33203125" style="293" bestFit="1" customWidth="1"/>
    <col min="1040" max="1044" width="12.6640625" style="293" bestFit="1" customWidth="1"/>
    <col min="1045" max="1045" width="13.33203125" style="293" bestFit="1" customWidth="1"/>
    <col min="1046" max="1065" width="12.6640625" style="293" bestFit="1" customWidth="1"/>
    <col min="1066" max="1067" width="13.33203125" style="293" bestFit="1" customWidth="1"/>
    <col min="1068" max="1068" width="11.33203125" style="293" customWidth="1"/>
    <col min="1069" max="1069" width="13.44140625" style="293" bestFit="1" customWidth="1"/>
    <col min="1070" max="1285" width="8.6640625" style="293"/>
    <col min="1286" max="1286" width="9.33203125" style="293" customWidth="1"/>
    <col min="1287" max="1287" width="29.6640625" style="293" customWidth="1"/>
    <col min="1288" max="1289" width="12.6640625" style="293" customWidth="1"/>
    <col min="1290" max="1290" width="13.6640625" style="293" bestFit="1" customWidth="1"/>
    <col min="1291" max="1295" width="12.33203125" style="293" bestFit="1" customWidth="1"/>
    <col min="1296" max="1300" width="12.6640625" style="293" bestFit="1" customWidth="1"/>
    <col min="1301" max="1301" width="13.33203125" style="293" bestFit="1" customWidth="1"/>
    <col min="1302" max="1321" width="12.6640625" style="293" bestFit="1" customWidth="1"/>
    <col min="1322" max="1323" width="13.33203125" style="293" bestFit="1" customWidth="1"/>
    <col min="1324" max="1324" width="11.33203125" style="293" customWidth="1"/>
    <col min="1325" max="1325" width="13.44140625" style="293" bestFit="1" customWidth="1"/>
    <col min="1326" max="1541" width="8.6640625" style="293"/>
    <col min="1542" max="1542" width="9.33203125" style="293" customWidth="1"/>
    <col min="1543" max="1543" width="29.6640625" style="293" customWidth="1"/>
    <col min="1544" max="1545" width="12.6640625" style="293" customWidth="1"/>
    <col min="1546" max="1546" width="13.6640625" style="293" bestFit="1" customWidth="1"/>
    <col min="1547" max="1551" width="12.33203125" style="293" bestFit="1" customWidth="1"/>
    <col min="1552" max="1556" width="12.6640625" style="293" bestFit="1" customWidth="1"/>
    <col min="1557" max="1557" width="13.33203125" style="293" bestFit="1" customWidth="1"/>
    <col min="1558" max="1577" width="12.6640625" style="293" bestFit="1" customWidth="1"/>
    <col min="1578" max="1579" width="13.33203125" style="293" bestFit="1" customWidth="1"/>
    <col min="1580" max="1580" width="11.33203125" style="293" customWidth="1"/>
    <col min="1581" max="1581" width="13.44140625" style="293" bestFit="1" customWidth="1"/>
    <col min="1582" max="1797" width="8.6640625" style="293"/>
    <col min="1798" max="1798" width="9.33203125" style="293" customWidth="1"/>
    <col min="1799" max="1799" width="29.6640625" style="293" customWidth="1"/>
    <col min="1800" max="1801" width="12.6640625" style="293" customWidth="1"/>
    <col min="1802" max="1802" width="13.6640625" style="293" bestFit="1" customWidth="1"/>
    <col min="1803" max="1807" width="12.33203125" style="293" bestFit="1" customWidth="1"/>
    <col min="1808" max="1812" width="12.6640625" style="293" bestFit="1" customWidth="1"/>
    <col min="1813" max="1813" width="13.33203125" style="293" bestFit="1" customWidth="1"/>
    <col min="1814" max="1833" width="12.6640625" style="293" bestFit="1" customWidth="1"/>
    <col min="1834" max="1835" width="13.33203125" style="293" bestFit="1" customWidth="1"/>
    <col min="1836" max="1836" width="11.33203125" style="293" customWidth="1"/>
    <col min="1837" max="1837" width="13.44140625" style="293" bestFit="1" customWidth="1"/>
    <col min="1838" max="2053" width="8.6640625" style="293"/>
    <col min="2054" max="2054" width="9.33203125" style="293" customWidth="1"/>
    <col min="2055" max="2055" width="29.6640625" style="293" customWidth="1"/>
    <col min="2056" max="2057" width="12.6640625" style="293" customWidth="1"/>
    <col min="2058" max="2058" width="13.6640625" style="293" bestFit="1" customWidth="1"/>
    <col min="2059" max="2063" width="12.33203125" style="293" bestFit="1" customWidth="1"/>
    <col min="2064" max="2068" width="12.6640625" style="293" bestFit="1" customWidth="1"/>
    <col min="2069" max="2069" width="13.33203125" style="293" bestFit="1" customWidth="1"/>
    <col min="2070" max="2089" width="12.6640625" style="293" bestFit="1" customWidth="1"/>
    <col min="2090" max="2091" width="13.33203125" style="293" bestFit="1" customWidth="1"/>
    <col min="2092" max="2092" width="11.33203125" style="293" customWidth="1"/>
    <col min="2093" max="2093" width="13.44140625" style="293" bestFit="1" customWidth="1"/>
    <col min="2094" max="2309" width="8.6640625" style="293"/>
    <col min="2310" max="2310" width="9.33203125" style="293" customWidth="1"/>
    <col min="2311" max="2311" width="29.6640625" style="293" customWidth="1"/>
    <col min="2312" max="2313" width="12.6640625" style="293" customWidth="1"/>
    <col min="2314" max="2314" width="13.6640625" style="293" bestFit="1" customWidth="1"/>
    <col min="2315" max="2319" width="12.33203125" style="293" bestFit="1" customWidth="1"/>
    <col min="2320" max="2324" width="12.6640625" style="293" bestFit="1" customWidth="1"/>
    <col min="2325" max="2325" width="13.33203125" style="293" bestFit="1" customWidth="1"/>
    <col min="2326" max="2345" width="12.6640625" style="293" bestFit="1" customWidth="1"/>
    <col min="2346" max="2347" width="13.33203125" style="293" bestFit="1" customWidth="1"/>
    <col min="2348" max="2348" width="11.33203125" style="293" customWidth="1"/>
    <col min="2349" max="2349" width="13.44140625" style="293" bestFit="1" customWidth="1"/>
    <col min="2350" max="2565" width="8.6640625" style="293"/>
    <col min="2566" max="2566" width="9.33203125" style="293" customWidth="1"/>
    <col min="2567" max="2567" width="29.6640625" style="293" customWidth="1"/>
    <col min="2568" max="2569" width="12.6640625" style="293" customWidth="1"/>
    <col min="2570" max="2570" width="13.6640625" style="293" bestFit="1" customWidth="1"/>
    <col min="2571" max="2575" width="12.33203125" style="293" bestFit="1" customWidth="1"/>
    <col min="2576" max="2580" width="12.6640625" style="293" bestFit="1" customWidth="1"/>
    <col min="2581" max="2581" width="13.33203125" style="293" bestFit="1" customWidth="1"/>
    <col min="2582" max="2601" width="12.6640625" style="293" bestFit="1" customWidth="1"/>
    <col min="2602" max="2603" width="13.33203125" style="293" bestFit="1" customWidth="1"/>
    <col min="2604" max="2604" width="11.33203125" style="293" customWidth="1"/>
    <col min="2605" max="2605" width="13.44140625" style="293" bestFit="1" customWidth="1"/>
    <col min="2606" max="2821" width="8.6640625" style="293"/>
    <col min="2822" max="2822" width="9.33203125" style="293" customWidth="1"/>
    <col min="2823" max="2823" width="29.6640625" style="293" customWidth="1"/>
    <col min="2824" max="2825" width="12.6640625" style="293" customWidth="1"/>
    <col min="2826" max="2826" width="13.6640625" style="293" bestFit="1" customWidth="1"/>
    <col min="2827" max="2831" width="12.33203125" style="293" bestFit="1" customWidth="1"/>
    <col min="2832" max="2836" width="12.6640625" style="293" bestFit="1" customWidth="1"/>
    <col min="2837" max="2837" width="13.33203125" style="293" bestFit="1" customWidth="1"/>
    <col min="2838" max="2857" width="12.6640625" style="293" bestFit="1" customWidth="1"/>
    <col min="2858" max="2859" width="13.33203125" style="293" bestFit="1" customWidth="1"/>
    <col min="2860" max="2860" width="11.33203125" style="293" customWidth="1"/>
    <col min="2861" max="2861" width="13.44140625" style="293" bestFit="1" customWidth="1"/>
    <col min="2862" max="3077" width="8.6640625" style="293"/>
    <col min="3078" max="3078" width="9.33203125" style="293" customWidth="1"/>
    <col min="3079" max="3079" width="29.6640625" style="293" customWidth="1"/>
    <col min="3080" max="3081" width="12.6640625" style="293" customWidth="1"/>
    <col min="3082" max="3082" width="13.6640625" style="293" bestFit="1" customWidth="1"/>
    <col min="3083" max="3087" width="12.33203125" style="293" bestFit="1" customWidth="1"/>
    <col min="3088" max="3092" width="12.6640625" style="293" bestFit="1" customWidth="1"/>
    <col min="3093" max="3093" width="13.33203125" style="293" bestFit="1" customWidth="1"/>
    <col min="3094" max="3113" width="12.6640625" style="293" bestFit="1" customWidth="1"/>
    <col min="3114" max="3115" width="13.33203125" style="293" bestFit="1" customWidth="1"/>
    <col min="3116" max="3116" width="11.33203125" style="293" customWidth="1"/>
    <col min="3117" max="3117" width="13.44140625" style="293" bestFit="1" customWidth="1"/>
    <col min="3118" max="3333" width="8.6640625" style="293"/>
    <col min="3334" max="3334" width="9.33203125" style="293" customWidth="1"/>
    <col min="3335" max="3335" width="29.6640625" style="293" customWidth="1"/>
    <col min="3336" max="3337" width="12.6640625" style="293" customWidth="1"/>
    <col min="3338" max="3338" width="13.6640625" style="293" bestFit="1" customWidth="1"/>
    <col min="3339" max="3343" width="12.33203125" style="293" bestFit="1" customWidth="1"/>
    <col min="3344" max="3348" width="12.6640625" style="293" bestFit="1" customWidth="1"/>
    <col min="3349" max="3349" width="13.33203125" style="293" bestFit="1" customWidth="1"/>
    <col min="3350" max="3369" width="12.6640625" style="293" bestFit="1" customWidth="1"/>
    <col min="3370" max="3371" width="13.33203125" style="293" bestFit="1" customWidth="1"/>
    <col min="3372" max="3372" width="11.33203125" style="293" customWidth="1"/>
    <col min="3373" max="3373" width="13.44140625" style="293" bestFit="1" customWidth="1"/>
    <col min="3374" max="3589" width="8.6640625" style="293"/>
    <col min="3590" max="3590" width="9.33203125" style="293" customWidth="1"/>
    <col min="3591" max="3591" width="29.6640625" style="293" customWidth="1"/>
    <col min="3592" max="3593" width="12.6640625" style="293" customWidth="1"/>
    <col min="3594" max="3594" width="13.6640625" style="293" bestFit="1" customWidth="1"/>
    <col min="3595" max="3599" width="12.33203125" style="293" bestFit="1" customWidth="1"/>
    <col min="3600" max="3604" width="12.6640625" style="293" bestFit="1" customWidth="1"/>
    <col min="3605" max="3605" width="13.33203125" style="293" bestFit="1" customWidth="1"/>
    <col min="3606" max="3625" width="12.6640625" style="293" bestFit="1" customWidth="1"/>
    <col min="3626" max="3627" width="13.33203125" style="293" bestFit="1" customWidth="1"/>
    <col min="3628" max="3628" width="11.33203125" style="293" customWidth="1"/>
    <col min="3629" max="3629" width="13.44140625" style="293" bestFit="1" customWidth="1"/>
    <col min="3630" max="3845" width="8.6640625" style="293"/>
    <col min="3846" max="3846" width="9.33203125" style="293" customWidth="1"/>
    <col min="3847" max="3847" width="29.6640625" style="293" customWidth="1"/>
    <col min="3848" max="3849" width="12.6640625" style="293" customWidth="1"/>
    <col min="3850" max="3850" width="13.6640625" style="293" bestFit="1" customWidth="1"/>
    <col min="3851" max="3855" width="12.33203125" style="293" bestFit="1" customWidth="1"/>
    <col min="3856" max="3860" width="12.6640625" style="293" bestFit="1" customWidth="1"/>
    <col min="3861" max="3861" width="13.33203125" style="293" bestFit="1" customWidth="1"/>
    <col min="3862" max="3881" width="12.6640625" style="293" bestFit="1" customWidth="1"/>
    <col min="3882" max="3883" width="13.33203125" style="293" bestFit="1" customWidth="1"/>
    <col min="3884" max="3884" width="11.33203125" style="293" customWidth="1"/>
    <col min="3885" max="3885" width="13.44140625" style="293" bestFit="1" customWidth="1"/>
    <col min="3886" max="4101" width="8.6640625" style="293"/>
    <col min="4102" max="4102" width="9.33203125" style="293" customWidth="1"/>
    <col min="4103" max="4103" width="29.6640625" style="293" customWidth="1"/>
    <col min="4104" max="4105" width="12.6640625" style="293" customWidth="1"/>
    <col min="4106" max="4106" width="13.6640625" style="293" bestFit="1" customWidth="1"/>
    <col min="4107" max="4111" width="12.33203125" style="293" bestFit="1" customWidth="1"/>
    <col min="4112" max="4116" width="12.6640625" style="293" bestFit="1" customWidth="1"/>
    <col min="4117" max="4117" width="13.33203125" style="293" bestFit="1" customWidth="1"/>
    <col min="4118" max="4137" width="12.6640625" style="293" bestFit="1" customWidth="1"/>
    <col min="4138" max="4139" width="13.33203125" style="293" bestFit="1" customWidth="1"/>
    <col min="4140" max="4140" width="11.33203125" style="293" customWidth="1"/>
    <col min="4141" max="4141" width="13.44140625" style="293" bestFit="1" customWidth="1"/>
    <col min="4142" max="4357" width="8.6640625" style="293"/>
    <col min="4358" max="4358" width="9.33203125" style="293" customWidth="1"/>
    <col min="4359" max="4359" width="29.6640625" style="293" customWidth="1"/>
    <col min="4360" max="4361" width="12.6640625" style="293" customWidth="1"/>
    <col min="4362" max="4362" width="13.6640625" style="293" bestFit="1" customWidth="1"/>
    <col min="4363" max="4367" width="12.33203125" style="293" bestFit="1" customWidth="1"/>
    <col min="4368" max="4372" width="12.6640625" style="293" bestFit="1" customWidth="1"/>
    <col min="4373" max="4373" width="13.33203125" style="293" bestFit="1" customWidth="1"/>
    <col min="4374" max="4393" width="12.6640625" style="293" bestFit="1" customWidth="1"/>
    <col min="4394" max="4395" width="13.33203125" style="293" bestFit="1" customWidth="1"/>
    <col min="4396" max="4396" width="11.33203125" style="293" customWidth="1"/>
    <col min="4397" max="4397" width="13.44140625" style="293" bestFit="1" customWidth="1"/>
    <col min="4398" max="4613" width="8.6640625" style="293"/>
    <col min="4614" max="4614" width="9.33203125" style="293" customWidth="1"/>
    <col min="4615" max="4615" width="29.6640625" style="293" customWidth="1"/>
    <col min="4616" max="4617" width="12.6640625" style="293" customWidth="1"/>
    <col min="4618" max="4618" width="13.6640625" style="293" bestFit="1" customWidth="1"/>
    <col min="4619" max="4623" width="12.33203125" style="293" bestFit="1" customWidth="1"/>
    <col min="4624" max="4628" width="12.6640625" style="293" bestFit="1" customWidth="1"/>
    <col min="4629" max="4629" width="13.33203125" style="293" bestFit="1" customWidth="1"/>
    <col min="4630" max="4649" width="12.6640625" style="293" bestFit="1" customWidth="1"/>
    <col min="4650" max="4651" width="13.33203125" style="293" bestFit="1" customWidth="1"/>
    <col min="4652" max="4652" width="11.33203125" style="293" customWidth="1"/>
    <col min="4653" max="4653" width="13.44140625" style="293" bestFit="1" customWidth="1"/>
    <col min="4654" max="4869" width="8.6640625" style="293"/>
    <col min="4870" max="4870" width="9.33203125" style="293" customWidth="1"/>
    <col min="4871" max="4871" width="29.6640625" style="293" customWidth="1"/>
    <col min="4872" max="4873" width="12.6640625" style="293" customWidth="1"/>
    <col min="4874" max="4874" width="13.6640625" style="293" bestFit="1" customWidth="1"/>
    <col min="4875" max="4879" width="12.33203125" style="293" bestFit="1" customWidth="1"/>
    <col min="4880" max="4884" width="12.6640625" style="293" bestFit="1" customWidth="1"/>
    <col min="4885" max="4885" width="13.33203125" style="293" bestFit="1" customWidth="1"/>
    <col min="4886" max="4905" width="12.6640625" style="293" bestFit="1" customWidth="1"/>
    <col min="4906" max="4907" width="13.33203125" style="293" bestFit="1" customWidth="1"/>
    <col min="4908" max="4908" width="11.33203125" style="293" customWidth="1"/>
    <col min="4909" max="4909" width="13.44140625" style="293" bestFit="1" customWidth="1"/>
    <col min="4910" max="5125" width="8.6640625" style="293"/>
    <col min="5126" max="5126" width="9.33203125" style="293" customWidth="1"/>
    <col min="5127" max="5127" width="29.6640625" style="293" customWidth="1"/>
    <col min="5128" max="5129" width="12.6640625" style="293" customWidth="1"/>
    <col min="5130" max="5130" width="13.6640625" style="293" bestFit="1" customWidth="1"/>
    <col min="5131" max="5135" width="12.33203125" style="293" bestFit="1" customWidth="1"/>
    <col min="5136" max="5140" width="12.6640625" style="293" bestFit="1" customWidth="1"/>
    <col min="5141" max="5141" width="13.33203125" style="293" bestFit="1" customWidth="1"/>
    <col min="5142" max="5161" width="12.6640625" style="293" bestFit="1" customWidth="1"/>
    <col min="5162" max="5163" width="13.33203125" style="293" bestFit="1" customWidth="1"/>
    <col min="5164" max="5164" width="11.33203125" style="293" customWidth="1"/>
    <col min="5165" max="5165" width="13.44140625" style="293" bestFit="1" customWidth="1"/>
    <col min="5166" max="5381" width="8.6640625" style="293"/>
    <col min="5382" max="5382" width="9.33203125" style="293" customWidth="1"/>
    <col min="5383" max="5383" width="29.6640625" style="293" customWidth="1"/>
    <col min="5384" max="5385" width="12.6640625" style="293" customWidth="1"/>
    <col min="5386" max="5386" width="13.6640625" style="293" bestFit="1" customWidth="1"/>
    <col min="5387" max="5391" width="12.33203125" style="293" bestFit="1" customWidth="1"/>
    <col min="5392" max="5396" width="12.6640625" style="293" bestFit="1" customWidth="1"/>
    <col min="5397" max="5397" width="13.33203125" style="293" bestFit="1" customWidth="1"/>
    <col min="5398" max="5417" width="12.6640625" style="293" bestFit="1" customWidth="1"/>
    <col min="5418" max="5419" width="13.33203125" style="293" bestFit="1" customWidth="1"/>
    <col min="5420" max="5420" width="11.33203125" style="293" customWidth="1"/>
    <col min="5421" max="5421" width="13.44140625" style="293" bestFit="1" customWidth="1"/>
    <col min="5422" max="5637" width="8.6640625" style="293"/>
    <col min="5638" max="5638" width="9.33203125" style="293" customWidth="1"/>
    <col min="5639" max="5639" width="29.6640625" style="293" customWidth="1"/>
    <col min="5640" max="5641" width="12.6640625" style="293" customWidth="1"/>
    <col min="5642" max="5642" width="13.6640625" style="293" bestFit="1" customWidth="1"/>
    <col min="5643" max="5647" width="12.33203125" style="293" bestFit="1" customWidth="1"/>
    <col min="5648" max="5652" width="12.6640625" style="293" bestFit="1" customWidth="1"/>
    <col min="5653" max="5653" width="13.33203125" style="293" bestFit="1" customWidth="1"/>
    <col min="5654" max="5673" width="12.6640625" style="293" bestFit="1" customWidth="1"/>
    <col min="5674" max="5675" width="13.33203125" style="293" bestFit="1" customWidth="1"/>
    <col min="5676" max="5676" width="11.33203125" style="293" customWidth="1"/>
    <col min="5677" max="5677" width="13.44140625" style="293" bestFit="1" customWidth="1"/>
    <col min="5678" max="5893" width="8.6640625" style="293"/>
    <col min="5894" max="5894" width="9.33203125" style="293" customWidth="1"/>
    <col min="5895" max="5895" width="29.6640625" style="293" customWidth="1"/>
    <col min="5896" max="5897" width="12.6640625" style="293" customWidth="1"/>
    <col min="5898" max="5898" width="13.6640625" style="293" bestFit="1" customWidth="1"/>
    <col min="5899" max="5903" width="12.33203125" style="293" bestFit="1" customWidth="1"/>
    <col min="5904" max="5908" width="12.6640625" style="293" bestFit="1" customWidth="1"/>
    <col min="5909" max="5909" width="13.33203125" style="293" bestFit="1" customWidth="1"/>
    <col min="5910" max="5929" width="12.6640625" style="293" bestFit="1" customWidth="1"/>
    <col min="5930" max="5931" width="13.33203125" style="293" bestFit="1" customWidth="1"/>
    <col min="5932" max="5932" width="11.33203125" style="293" customWidth="1"/>
    <col min="5933" max="5933" width="13.44140625" style="293" bestFit="1" customWidth="1"/>
    <col min="5934" max="6149" width="8.6640625" style="293"/>
    <col min="6150" max="6150" width="9.33203125" style="293" customWidth="1"/>
    <col min="6151" max="6151" width="29.6640625" style="293" customWidth="1"/>
    <col min="6152" max="6153" width="12.6640625" style="293" customWidth="1"/>
    <col min="6154" max="6154" width="13.6640625" style="293" bestFit="1" customWidth="1"/>
    <col min="6155" max="6159" width="12.33203125" style="293" bestFit="1" customWidth="1"/>
    <col min="6160" max="6164" width="12.6640625" style="293" bestFit="1" customWidth="1"/>
    <col min="6165" max="6165" width="13.33203125" style="293" bestFit="1" customWidth="1"/>
    <col min="6166" max="6185" width="12.6640625" style="293" bestFit="1" customWidth="1"/>
    <col min="6186" max="6187" width="13.33203125" style="293" bestFit="1" customWidth="1"/>
    <col min="6188" max="6188" width="11.33203125" style="293" customWidth="1"/>
    <col min="6189" max="6189" width="13.44140625" style="293" bestFit="1" customWidth="1"/>
    <col min="6190" max="6405" width="8.6640625" style="293"/>
    <col min="6406" max="6406" width="9.33203125" style="293" customWidth="1"/>
    <col min="6407" max="6407" width="29.6640625" style="293" customWidth="1"/>
    <col min="6408" max="6409" width="12.6640625" style="293" customWidth="1"/>
    <col min="6410" max="6410" width="13.6640625" style="293" bestFit="1" customWidth="1"/>
    <col min="6411" max="6415" width="12.33203125" style="293" bestFit="1" customWidth="1"/>
    <col min="6416" max="6420" width="12.6640625" style="293" bestFit="1" customWidth="1"/>
    <col min="6421" max="6421" width="13.33203125" style="293" bestFit="1" customWidth="1"/>
    <col min="6422" max="6441" width="12.6640625" style="293" bestFit="1" customWidth="1"/>
    <col min="6442" max="6443" width="13.33203125" style="293" bestFit="1" customWidth="1"/>
    <col min="6444" max="6444" width="11.33203125" style="293" customWidth="1"/>
    <col min="6445" max="6445" width="13.44140625" style="293" bestFit="1" customWidth="1"/>
    <col min="6446" max="6661" width="8.6640625" style="293"/>
    <col min="6662" max="6662" width="9.33203125" style="293" customWidth="1"/>
    <col min="6663" max="6663" width="29.6640625" style="293" customWidth="1"/>
    <col min="6664" max="6665" width="12.6640625" style="293" customWidth="1"/>
    <col min="6666" max="6666" width="13.6640625" style="293" bestFit="1" customWidth="1"/>
    <col min="6667" max="6671" width="12.33203125" style="293" bestFit="1" customWidth="1"/>
    <col min="6672" max="6676" width="12.6640625" style="293" bestFit="1" customWidth="1"/>
    <col min="6677" max="6677" width="13.33203125" style="293" bestFit="1" customWidth="1"/>
    <col min="6678" max="6697" width="12.6640625" style="293" bestFit="1" customWidth="1"/>
    <col min="6698" max="6699" width="13.33203125" style="293" bestFit="1" customWidth="1"/>
    <col min="6700" max="6700" width="11.33203125" style="293" customWidth="1"/>
    <col min="6701" max="6701" width="13.44140625" style="293" bestFit="1" customWidth="1"/>
    <col min="6702" max="6917" width="8.6640625" style="293"/>
    <col min="6918" max="6918" width="9.33203125" style="293" customWidth="1"/>
    <col min="6919" max="6919" width="29.6640625" style="293" customWidth="1"/>
    <col min="6920" max="6921" width="12.6640625" style="293" customWidth="1"/>
    <col min="6922" max="6922" width="13.6640625" style="293" bestFit="1" customWidth="1"/>
    <col min="6923" max="6927" width="12.33203125" style="293" bestFit="1" customWidth="1"/>
    <col min="6928" max="6932" width="12.6640625" style="293" bestFit="1" customWidth="1"/>
    <col min="6933" max="6933" width="13.33203125" style="293" bestFit="1" customWidth="1"/>
    <col min="6934" max="6953" width="12.6640625" style="293" bestFit="1" customWidth="1"/>
    <col min="6954" max="6955" width="13.33203125" style="293" bestFit="1" customWidth="1"/>
    <col min="6956" max="6956" width="11.33203125" style="293" customWidth="1"/>
    <col min="6957" max="6957" width="13.44140625" style="293" bestFit="1" customWidth="1"/>
    <col min="6958" max="7173" width="8.6640625" style="293"/>
    <col min="7174" max="7174" width="9.33203125" style="293" customWidth="1"/>
    <col min="7175" max="7175" width="29.6640625" style="293" customWidth="1"/>
    <col min="7176" max="7177" width="12.6640625" style="293" customWidth="1"/>
    <col min="7178" max="7178" width="13.6640625" style="293" bestFit="1" customWidth="1"/>
    <col min="7179" max="7183" width="12.33203125" style="293" bestFit="1" customWidth="1"/>
    <col min="7184" max="7188" width="12.6640625" style="293" bestFit="1" customWidth="1"/>
    <col min="7189" max="7189" width="13.33203125" style="293" bestFit="1" customWidth="1"/>
    <col min="7190" max="7209" width="12.6640625" style="293" bestFit="1" customWidth="1"/>
    <col min="7210" max="7211" width="13.33203125" style="293" bestFit="1" customWidth="1"/>
    <col min="7212" max="7212" width="11.33203125" style="293" customWidth="1"/>
    <col min="7213" max="7213" width="13.44140625" style="293" bestFit="1" customWidth="1"/>
    <col min="7214" max="7429" width="8.6640625" style="293"/>
    <col min="7430" max="7430" width="9.33203125" style="293" customWidth="1"/>
    <col min="7431" max="7431" width="29.6640625" style="293" customWidth="1"/>
    <col min="7432" max="7433" width="12.6640625" style="293" customWidth="1"/>
    <col min="7434" max="7434" width="13.6640625" style="293" bestFit="1" customWidth="1"/>
    <col min="7435" max="7439" width="12.33203125" style="293" bestFit="1" customWidth="1"/>
    <col min="7440" max="7444" width="12.6640625" style="293" bestFit="1" customWidth="1"/>
    <col min="7445" max="7445" width="13.33203125" style="293" bestFit="1" customWidth="1"/>
    <col min="7446" max="7465" width="12.6640625" style="293" bestFit="1" customWidth="1"/>
    <col min="7466" max="7467" width="13.33203125" style="293" bestFit="1" customWidth="1"/>
    <col min="7468" max="7468" width="11.33203125" style="293" customWidth="1"/>
    <col min="7469" max="7469" width="13.44140625" style="293" bestFit="1" customWidth="1"/>
    <col min="7470" max="7685" width="8.6640625" style="293"/>
    <col min="7686" max="7686" width="9.33203125" style="293" customWidth="1"/>
    <col min="7687" max="7687" width="29.6640625" style="293" customWidth="1"/>
    <col min="7688" max="7689" width="12.6640625" style="293" customWidth="1"/>
    <col min="7690" max="7690" width="13.6640625" style="293" bestFit="1" customWidth="1"/>
    <col min="7691" max="7695" width="12.33203125" style="293" bestFit="1" customWidth="1"/>
    <col min="7696" max="7700" width="12.6640625" style="293" bestFit="1" customWidth="1"/>
    <col min="7701" max="7701" width="13.33203125" style="293" bestFit="1" customWidth="1"/>
    <col min="7702" max="7721" width="12.6640625" style="293" bestFit="1" customWidth="1"/>
    <col min="7722" max="7723" width="13.33203125" style="293" bestFit="1" customWidth="1"/>
    <col min="7724" max="7724" width="11.33203125" style="293" customWidth="1"/>
    <col min="7725" max="7725" width="13.44140625" style="293" bestFit="1" customWidth="1"/>
    <col min="7726" max="7941" width="8.6640625" style="293"/>
    <col min="7942" max="7942" width="9.33203125" style="293" customWidth="1"/>
    <col min="7943" max="7943" width="29.6640625" style="293" customWidth="1"/>
    <col min="7944" max="7945" width="12.6640625" style="293" customWidth="1"/>
    <col min="7946" max="7946" width="13.6640625" style="293" bestFit="1" customWidth="1"/>
    <col min="7947" max="7951" width="12.33203125" style="293" bestFit="1" customWidth="1"/>
    <col min="7952" max="7956" width="12.6640625" style="293" bestFit="1" customWidth="1"/>
    <col min="7957" max="7957" width="13.33203125" style="293" bestFit="1" customWidth="1"/>
    <col min="7958" max="7977" width="12.6640625" style="293" bestFit="1" customWidth="1"/>
    <col min="7978" max="7979" width="13.33203125" style="293" bestFit="1" customWidth="1"/>
    <col min="7980" max="7980" width="11.33203125" style="293" customWidth="1"/>
    <col min="7981" max="7981" width="13.44140625" style="293" bestFit="1" customWidth="1"/>
    <col min="7982" max="8197" width="8.6640625" style="293"/>
    <col min="8198" max="8198" width="9.33203125" style="293" customWidth="1"/>
    <col min="8199" max="8199" width="29.6640625" style="293" customWidth="1"/>
    <col min="8200" max="8201" width="12.6640625" style="293" customWidth="1"/>
    <col min="8202" max="8202" width="13.6640625" style="293" bestFit="1" customWidth="1"/>
    <col min="8203" max="8207" width="12.33203125" style="293" bestFit="1" customWidth="1"/>
    <col min="8208" max="8212" width="12.6640625" style="293" bestFit="1" customWidth="1"/>
    <col min="8213" max="8213" width="13.33203125" style="293" bestFit="1" customWidth="1"/>
    <col min="8214" max="8233" width="12.6640625" style="293" bestFit="1" customWidth="1"/>
    <col min="8234" max="8235" width="13.33203125" style="293" bestFit="1" customWidth="1"/>
    <col min="8236" max="8236" width="11.33203125" style="293" customWidth="1"/>
    <col min="8237" max="8237" width="13.44140625" style="293" bestFit="1" customWidth="1"/>
    <col min="8238" max="8453" width="8.6640625" style="293"/>
    <col min="8454" max="8454" width="9.33203125" style="293" customWidth="1"/>
    <col min="8455" max="8455" width="29.6640625" style="293" customWidth="1"/>
    <col min="8456" max="8457" width="12.6640625" style="293" customWidth="1"/>
    <col min="8458" max="8458" width="13.6640625" style="293" bestFit="1" customWidth="1"/>
    <col min="8459" max="8463" width="12.33203125" style="293" bestFit="1" customWidth="1"/>
    <col min="8464" max="8468" width="12.6640625" style="293" bestFit="1" customWidth="1"/>
    <col min="8469" max="8469" width="13.33203125" style="293" bestFit="1" customWidth="1"/>
    <col min="8470" max="8489" width="12.6640625" style="293" bestFit="1" customWidth="1"/>
    <col min="8490" max="8491" width="13.33203125" style="293" bestFit="1" customWidth="1"/>
    <col min="8492" max="8492" width="11.33203125" style="293" customWidth="1"/>
    <col min="8493" max="8493" width="13.44140625" style="293" bestFit="1" customWidth="1"/>
    <col min="8494" max="8709" width="8.6640625" style="293"/>
    <col min="8710" max="8710" width="9.33203125" style="293" customWidth="1"/>
    <col min="8711" max="8711" width="29.6640625" style="293" customWidth="1"/>
    <col min="8712" max="8713" width="12.6640625" style="293" customWidth="1"/>
    <col min="8714" max="8714" width="13.6640625" style="293" bestFit="1" customWidth="1"/>
    <col min="8715" max="8719" width="12.33203125" style="293" bestFit="1" customWidth="1"/>
    <col min="8720" max="8724" width="12.6640625" style="293" bestFit="1" customWidth="1"/>
    <col min="8725" max="8725" width="13.33203125" style="293" bestFit="1" customWidth="1"/>
    <col min="8726" max="8745" width="12.6640625" style="293" bestFit="1" customWidth="1"/>
    <col min="8746" max="8747" width="13.33203125" style="293" bestFit="1" customWidth="1"/>
    <col min="8748" max="8748" width="11.33203125" style="293" customWidth="1"/>
    <col min="8749" max="8749" width="13.44140625" style="293" bestFit="1" customWidth="1"/>
    <col min="8750" max="8965" width="8.6640625" style="293"/>
    <col min="8966" max="8966" width="9.33203125" style="293" customWidth="1"/>
    <col min="8967" max="8967" width="29.6640625" style="293" customWidth="1"/>
    <col min="8968" max="8969" width="12.6640625" style="293" customWidth="1"/>
    <col min="8970" max="8970" width="13.6640625" style="293" bestFit="1" customWidth="1"/>
    <col min="8971" max="8975" width="12.33203125" style="293" bestFit="1" customWidth="1"/>
    <col min="8976" max="8980" width="12.6640625" style="293" bestFit="1" customWidth="1"/>
    <col min="8981" max="8981" width="13.33203125" style="293" bestFit="1" customWidth="1"/>
    <col min="8982" max="9001" width="12.6640625" style="293" bestFit="1" customWidth="1"/>
    <col min="9002" max="9003" width="13.33203125" style="293" bestFit="1" customWidth="1"/>
    <col min="9004" max="9004" width="11.33203125" style="293" customWidth="1"/>
    <col min="9005" max="9005" width="13.44140625" style="293" bestFit="1" customWidth="1"/>
    <col min="9006" max="9221" width="8.6640625" style="293"/>
    <col min="9222" max="9222" width="9.33203125" style="293" customWidth="1"/>
    <col min="9223" max="9223" width="29.6640625" style="293" customWidth="1"/>
    <col min="9224" max="9225" width="12.6640625" style="293" customWidth="1"/>
    <col min="9226" max="9226" width="13.6640625" style="293" bestFit="1" customWidth="1"/>
    <col min="9227" max="9231" width="12.33203125" style="293" bestFit="1" customWidth="1"/>
    <col min="9232" max="9236" width="12.6640625" style="293" bestFit="1" customWidth="1"/>
    <col min="9237" max="9237" width="13.33203125" style="293" bestFit="1" customWidth="1"/>
    <col min="9238" max="9257" width="12.6640625" style="293" bestFit="1" customWidth="1"/>
    <col min="9258" max="9259" width="13.33203125" style="293" bestFit="1" customWidth="1"/>
    <col min="9260" max="9260" width="11.33203125" style="293" customWidth="1"/>
    <col min="9261" max="9261" width="13.44140625" style="293" bestFit="1" customWidth="1"/>
    <col min="9262" max="9477" width="8.6640625" style="293"/>
    <col min="9478" max="9478" width="9.33203125" style="293" customWidth="1"/>
    <col min="9479" max="9479" width="29.6640625" style="293" customWidth="1"/>
    <col min="9480" max="9481" width="12.6640625" style="293" customWidth="1"/>
    <col min="9482" max="9482" width="13.6640625" style="293" bestFit="1" customWidth="1"/>
    <col min="9483" max="9487" width="12.33203125" style="293" bestFit="1" customWidth="1"/>
    <col min="9488" max="9492" width="12.6640625" style="293" bestFit="1" customWidth="1"/>
    <col min="9493" max="9493" width="13.33203125" style="293" bestFit="1" customWidth="1"/>
    <col min="9494" max="9513" width="12.6640625" style="293" bestFit="1" customWidth="1"/>
    <col min="9514" max="9515" width="13.33203125" style="293" bestFit="1" customWidth="1"/>
    <col min="9516" max="9516" width="11.33203125" style="293" customWidth="1"/>
    <col min="9517" max="9517" width="13.44140625" style="293" bestFit="1" customWidth="1"/>
    <col min="9518" max="9733" width="8.6640625" style="293"/>
    <col min="9734" max="9734" width="9.33203125" style="293" customWidth="1"/>
    <col min="9735" max="9735" width="29.6640625" style="293" customWidth="1"/>
    <col min="9736" max="9737" width="12.6640625" style="293" customWidth="1"/>
    <col min="9738" max="9738" width="13.6640625" style="293" bestFit="1" customWidth="1"/>
    <col min="9739" max="9743" width="12.33203125" style="293" bestFit="1" customWidth="1"/>
    <col min="9744" max="9748" width="12.6640625" style="293" bestFit="1" customWidth="1"/>
    <col min="9749" max="9749" width="13.33203125" style="293" bestFit="1" customWidth="1"/>
    <col min="9750" max="9769" width="12.6640625" style="293" bestFit="1" customWidth="1"/>
    <col min="9770" max="9771" width="13.33203125" style="293" bestFit="1" customWidth="1"/>
    <col min="9772" max="9772" width="11.33203125" style="293" customWidth="1"/>
    <col min="9773" max="9773" width="13.44140625" style="293" bestFit="1" customWidth="1"/>
    <col min="9774" max="9989" width="8.6640625" style="293"/>
    <col min="9990" max="9990" width="9.33203125" style="293" customWidth="1"/>
    <col min="9991" max="9991" width="29.6640625" style="293" customWidth="1"/>
    <col min="9992" max="9993" width="12.6640625" style="293" customWidth="1"/>
    <col min="9994" max="9994" width="13.6640625" style="293" bestFit="1" customWidth="1"/>
    <col min="9995" max="9999" width="12.33203125" style="293" bestFit="1" customWidth="1"/>
    <col min="10000" max="10004" width="12.6640625" style="293" bestFit="1" customWidth="1"/>
    <col min="10005" max="10005" width="13.33203125" style="293" bestFit="1" customWidth="1"/>
    <col min="10006" max="10025" width="12.6640625" style="293" bestFit="1" customWidth="1"/>
    <col min="10026" max="10027" width="13.33203125" style="293" bestFit="1" customWidth="1"/>
    <col min="10028" max="10028" width="11.33203125" style="293" customWidth="1"/>
    <col min="10029" max="10029" width="13.44140625" style="293" bestFit="1" customWidth="1"/>
    <col min="10030" max="10245" width="8.6640625" style="293"/>
    <col min="10246" max="10246" width="9.33203125" style="293" customWidth="1"/>
    <col min="10247" max="10247" width="29.6640625" style="293" customWidth="1"/>
    <col min="10248" max="10249" width="12.6640625" style="293" customWidth="1"/>
    <col min="10250" max="10250" width="13.6640625" style="293" bestFit="1" customWidth="1"/>
    <col min="10251" max="10255" width="12.33203125" style="293" bestFit="1" customWidth="1"/>
    <col min="10256" max="10260" width="12.6640625" style="293" bestFit="1" customWidth="1"/>
    <col min="10261" max="10261" width="13.33203125" style="293" bestFit="1" customWidth="1"/>
    <col min="10262" max="10281" width="12.6640625" style="293" bestFit="1" customWidth="1"/>
    <col min="10282" max="10283" width="13.33203125" style="293" bestFit="1" customWidth="1"/>
    <col min="10284" max="10284" width="11.33203125" style="293" customWidth="1"/>
    <col min="10285" max="10285" width="13.44140625" style="293" bestFit="1" customWidth="1"/>
    <col min="10286" max="10501" width="8.6640625" style="293"/>
    <col min="10502" max="10502" width="9.33203125" style="293" customWidth="1"/>
    <col min="10503" max="10503" width="29.6640625" style="293" customWidth="1"/>
    <col min="10504" max="10505" width="12.6640625" style="293" customWidth="1"/>
    <col min="10506" max="10506" width="13.6640625" style="293" bestFit="1" customWidth="1"/>
    <col min="10507" max="10511" width="12.33203125" style="293" bestFit="1" customWidth="1"/>
    <col min="10512" max="10516" width="12.6640625" style="293" bestFit="1" customWidth="1"/>
    <col min="10517" max="10517" width="13.33203125" style="293" bestFit="1" customWidth="1"/>
    <col min="10518" max="10537" width="12.6640625" style="293" bestFit="1" customWidth="1"/>
    <col min="10538" max="10539" width="13.33203125" style="293" bestFit="1" customWidth="1"/>
    <col min="10540" max="10540" width="11.33203125" style="293" customWidth="1"/>
    <col min="10541" max="10541" width="13.44140625" style="293" bestFit="1" customWidth="1"/>
    <col min="10542" max="10757" width="8.6640625" style="293"/>
    <col min="10758" max="10758" width="9.33203125" style="293" customWidth="1"/>
    <col min="10759" max="10759" width="29.6640625" style="293" customWidth="1"/>
    <col min="10760" max="10761" width="12.6640625" style="293" customWidth="1"/>
    <col min="10762" max="10762" width="13.6640625" style="293" bestFit="1" customWidth="1"/>
    <col min="10763" max="10767" width="12.33203125" style="293" bestFit="1" customWidth="1"/>
    <col min="10768" max="10772" width="12.6640625" style="293" bestFit="1" customWidth="1"/>
    <col min="10773" max="10773" width="13.33203125" style="293" bestFit="1" customWidth="1"/>
    <col min="10774" max="10793" width="12.6640625" style="293" bestFit="1" customWidth="1"/>
    <col min="10794" max="10795" width="13.33203125" style="293" bestFit="1" customWidth="1"/>
    <col min="10796" max="10796" width="11.33203125" style="293" customWidth="1"/>
    <col min="10797" max="10797" width="13.44140625" style="293" bestFit="1" customWidth="1"/>
    <col min="10798" max="11013" width="8.6640625" style="293"/>
    <col min="11014" max="11014" width="9.33203125" style="293" customWidth="1"/>
    <col min="11015" max="11015" width="29.6640625" style="293" customWidth="1"/>
    <col min="11016" max="11017" width="12.6640625" style="293" customWidth="1"/>
    <col min="11018" max="11018" width="13.6640625" style="293" bestFit="1" customWidth="1"/>
    <col min="11019" max="11023" width="12.33203125" style="293" bestFit="1" customWidth="1"/>
    <col min="11024" max="11028" width="12.6640625" style="293" bestFit="1" customWidth="1"/>
    <col min="11029" max="11029" width="13.33203125" style="293" bestFit="1" customWidth="1"/>
    <col min="11030" max="11049" width="12.6640625" style="293" bestFit="1" customWidth="1"/>
    <col min="11050" max="11051" width="13.33203125" style="293" bestFit="1" customWidth="1"/>
    <col min="11052" max="11052" width="11.33203125" style="293" customWidth="1"/>
    <col min="11053" max="11053" width="13.44140625" style="293" bestFit="1" customWidth="1"/>
    <col min="11054" max="11269" width="8.6640625" style="293"/>
    <col min="11270" max="11270" width="9.33203125" style="293" customWidth="1"/>
    <col min="11271" max="11271" width="29.6640625" style="293" customWidth="1"/>
    <col min="11272" max="11273" width="12.6640625" style="293" customWidth="1"/>
    <col min="11274" max="11274" width="13.6640625" style="293" bestFit="1" customWidth="1"/>
    <col min="11275" max="11279" width="12.33203125" style="293" bestFit="1" customWidth="1"/>
    <col min="11280" max="11284" width="12.6640625" style="293" bestFit="1" customWidth="1"/>
    <col min="11285" max="11285" width="13.33203125" style="293" bestFit="1" customWidth="1"/>
    <col min="11286" max="11305" width="12.6640625" style="293" bestFit="1" customWidth="1"/>
    <col min="11306" max="11307" width="13.33203125" style="293" bestFit="1" customWidth="1"/>
    <col min="11308" max="11308" width="11.33203125" style="293" customWidth="1"/>
    <col min="11309" max="11309" width="13.44140625" style="293" bestFit="1" customWidth="1"/>
    <col min="11310" max="11525" width="8.6640625" style="293"/>
    <col min="11526" max="11526" width="9.33203125" style="293" customWidth="1"/>
    <col min="11527" max="11527" width="29.6640625" style="293" customWidth="1"/>
    <col min="11528" max="11529" width="12.6640625" style="293" customWidth="1"/>
    <col min="11530" max="11530" width="13.6640625" style="293" bestFit="1" customWidth="1"/>
    <col min="11531" max="11535" width="12.33203125" style="293" bestFit="1" customWidth="1"/>
    <col min="11536" max="11540" width="12.6640625" style="293" bestFit="1" customWidth="1"/>
    <col min="11541" max="11541" width="13.33203125" style="293" bestFit="1" customWidth="1"/>
    <col min="11542" max="11561" width="12.6640625" style="293" bestFit="1" customWidth="1"/>
    <col min="11562" max="11563" width="13.33203125" style="293" bestFit="1" customWidth="1"/>
    <col min="11564" max="11564" width="11.33203125" style="293" customWidth="1"/>
    <col min="11565" max="11565" width="13.44140625" style="293" bestFit="1" customWidth="1"/>
    <col min="11566" max="11781" width="8.6640625" style="293"/>
    <col min="11782" max="11782" width="9.33203125" style="293" customWidth="1"/>
    <col min="11783" max="11783" width="29.6640625" style="293" customWidth="1"/>
    <col min="11784" max="11785" width="12.6640625" style="293" customWidth="1"/>
    <col min="11786" max="11786" width="13.6640625" style="293" bestFit="1" customWidth="1"/>
    <col min="11787" max="11791" width="12.33203125" style="293" bestFit="1" customWidth="1"/>
    <col min="11792" max="11796" width="12.6640625" style="293" bestFit="1" customWidth="1"/>
    <col min="11797" max="11797" width="13.33203125" style="293" bestFit="1" customWidth="1"/>
    <col min="11798" max="11817" width="12.6640625" style="293" bestFit="1" customWidth="1"/>
    <col min="11818" max="11819" width="13.33203125" style="293" bestFit="1" customWidth="1"/>
    <col min="11820" max="11820" width="11.33203125" style="293" customWidth="1"/>
    <col min="11821" max="11821" width="13.44140625" style="293" bestFit="1" customWidth="1"/>
    <col min="11822" max="12037" width="8.6640625" style="293"/>
    <col min="12038" max="12038" width="9.33203125" style="293" customWidth="1"/>
    <col min="12039" max="12039" width="29.6640625" style="293" customWidth="1"/>
    <col min="12040" max="12041" width="12.6640625" style="293" customWidth="1"/>
    <col min="12042" max="12042" width="13.6640625" style="293" bestFit="1" customWidth="1"/>
    <col min="12043" max="12047" width="12.33203125" style="293" bestFit="1" customWidth="1"/>
    <col min="12048" max="12052" width="12.6640625" style="293" bestFit="1" customWidth="1"/>
    <col min="12053" max="12053" width="13.33203125" style="293" bestFit="1" customWidth="1"/>
    <col min="12054" max="12073" width="12.6640625" style="293" bestFit="1" customWidth="1"/>
    <col min="12074" max="12075" width="13.33203125" style="293" bestFit="1" customWidth="1"/>
    <col min="12076" max="12076" width="11.33203125" style="293" customWidth="1"/>
    <col min="12077" max="12077" width="13.44140625" style="293" bestFit="1" customWidth="1"/>
    <col min="12078" max="12293" width="8.6640625" style="293"/>
    <col min="12294" max="12294" width="9.33203125" style="293" customWidth="1"/>
    <col min="12295" max="12295" width="29.6640625" style="293" customWidth="1"/>
    <col min="12296" max="12297" width="12.6640625" style="293" customWidth="1"/>
    <col min="12298" max="12298" width="13.6640625" style="293" bestFit="1" customWidth="1"/>
    <col min="12299" max="12303" width="12.33203125" style="293" bestFit="1" customWidth="1"/>
    <col min="12304" max="12308" width="12.6640625" style="293" bestFit="1" customWidth="1"/>
    <col min="12309" max="12309" width="13.33203125" style="293" bestFit="1" customWidth="1"/>
    <col min="12310" max="12329" width="12.6640625" style="293" bestFit="1" customWidth="1"/>
    <col min="12330" max="12331" width="13.33203125" style="293" bestFit="1" customWidth="1"/>
    <col min="12332" max="12332" width="11.33203125" style="293" customWidth="1"/>
    <col min="12333" max="12333" width="13.44140625" style="293" bestFit="1" customWidth="1"/>
    <col min="12334" max="12549" width="8.6640625" style="293"/>
    <col min="12550" max="12550" width="9.33203125" style="293" customWidth="1"/>
    <col min="12551" max="12551" width="29.6640625" style="293" customWidth="1"/>
    <col min="12552" max="12553" width="12.6640625" style="293" customWidth="1"/>
    <col min="12554" max="12554" width="13.6640625" style="293" bestFit="1" customWidth="1"/>
    <col min="12555" max="12559" width="12.33203125" style="293" bestFit="1" customWidth="1"/>
    <col min="12560" max="12564" width="12.6640625" style="293" bestFit="1" customWidth="1"/>
    <col min="12565" max="12565" width="13.33203125" style="293" bestFit="1" customWidth="1"/>
    <col min="12566" max="12585" width="12.6640625" style="293" bestFit="1" customWidth="1"/>
    <col min="12586" max="12587" width="13.33203125" style="293" bestFit="1" customWidth="1"/>
    <col min="12588" max="12588" width="11.33203125" style="293" customWidth="1"/>
    <col min="12589" max="12589" width="13.44140625" style="293" bestFit="1" customWidth="1"/>
    <col min="12590" max="12805" width="8.6640625" style="293"/>
    <col min="12806" max="12806" width="9.33203125" style="293" customWidth="1"/>
    <col min="12807" max="12807" width="29.6640625" style="293" customWidth="1"/>
    <col min="12808" max="12809" width="12.6640625" style="293" customWidth="1"/>
    <col min="12810" max="12810" width="13.6640625" style="293" bestFit="1" customWidth="1"/>
    <col min="12811" max="12815" width="12.33203125" style="293" bestFit="1" customWidth="1"/>
    <col min="12816" max="12820" width="12.6640625" style="293" bestFit="1" customWidth="1"/>
    <col min="12821" max="12821" width="13.33203125" style="293" bestFit="1" customWidth="1"/>
    <col min="12822" max="12841" width="12.6640625" style="293" bestFit="1" customWidth="1"/>
    <col min="12842" max="12843" width="13.33203125" style="293" bestFit="1" customWidth="1"/>
    <col min="12844" max="12844" width="11.33203125" style="293" customWidth="1"/>
    <col min="12845" max="12845" width="13.44140625" style="293" bestFit="1" customWidth="1"/>
    <col min="12846" max="13061" width="8.6640625" style="293"/>
    <col min="13062" max="13062" width="9.33203125" style="293" customWidth="1"/>
    <col min="13063" max="13063" width="29.6640625" style="293" customWidth="1"/>
    <col min="13064" max="13065" width="12.6640625" style="293" customWidth="1"/>
    <col min="13066" max="13066" width="13.6640625" style="293" bestFit="1" customWidth="1"/>
    <col min="13067" max="13071" width="12.33203125" style="293" bestFit="1" customWidth="1"/>
    <col min="13072" max="13076" width="12.6640625" style="293" bestFit="1" customWidth="1"/>
    <col min="13077" max="13077" width="13.33203125" style="293" bestFit="1" customWidth="1"/>
    <col min="13078" max="13097" width="12.6640625" style="293" bestFit="1" customWidth="1"/>
    <col min="13098" max="13099" width="13.33203125" style="293" bestFit="1" customWidth="1"/>
    <col min="13100" max="13100" width="11.33203125" style="293" customWidth="1"/>
    <col min="13101" max="13101" width="13.44140625" style="293" bestFit="1" customWidth="1"/>
    <col min="13102" max="13317" width="8.6640625" style="293"/>
    <col min="13318" max="13318" width="9.33203125" style="293" customWidth="1"/>
    <col min="13319" max="13319" width="29.6640625" style="293" customWidth="1"/>
    <col min="13320" max="13321" width="12.6640625" style="293" customWidth="1"/>
    <col min="13322" max="13322" width="13.6640625" style="293" bestFit="1" customWidth="1"/>
    <col min="13323" max="13327" width="12.33203125" style="293" bestFit="1" customWidth="1"/>
    <col min="13328" max="13332" width="12.6640625" style="293" bestFit="1" customWidth="1"/>
    <col min="13333" max="13333" width="13.33203125" style="293" bestFit="1" customWidth="1"/>
    <col min="13334" max="13353" width="12.6640625" style="293" bestFit="1" customWidth="1"/>
    <col min="13354" max="13355" width="13.33203125" style="293" bestFit="1" customWidth="1"/>
    <col min="13356" max="13356" width="11.33203125" style="293" customWidth="1"/>
    <col min="13357" max="13357" width="13.44140625" style="293" bestFit="1" customWidth="1"/>
    <col min="13358" max="13573" width="8.6640625" style="293"/>
    <col min="13574" max="13574" width="9.33203125" style="293" customWidth="1"/>
    <col min="13575" max="13575" width="29.6640625" style="293" customWidth="1"/>
    <col min="13576" max="13577" width="12.6640625" style="293" customWidth="1"/>
    <col min="13578" max="13578" width="13.6640625" style="293" bestFit="1" customWidth="1"/>
    <col min="13579" max="13583" width="12.33203125" style="293" bestFit="1" customWidth="1"/>
    <col min="13584" max="13588" width="12.6640625" style="293" bestFit="1" customWidth="1"/>
    <col min="13589" max="13589" width="13.33203125" style="293" bestFit="1" customWidth="1"/>
    <col min="13590" max="13609" width="12.6640625" style="293" bestFit="1" customWidth="1"/>
    <col min="13610" max="13611" width="13.33203125" style="293" bestFit="1" customWidth="1"/>
    <col min="13612" max="13612" width="11.33203125" style="293" customWidth="1"/>
    <col min="13613" max="13613" width="13.44140625" style="293" bestFit="1" customWidth="1"/>
    <col min="13614" max="13829" width="8.6640625" style="293"/>
    <col min="13830" max="13830" width="9.33203125" style="293" customWidth="1"/>
    <col min="13831" max="13831" width="29.6640625" style="293" customWidth="1"/>
    <col min="13832" max="13833" width="12.6640625" style="293" customWidth="1"/>
    <col min="13834" max="13834" width="13.6640625" style="293" bestFit="1" customWidth="1"/>
    <col min="13835" max="13839" width="12.33203125" style="293" bestFit="1" customWidth="1"/>
    <col min="13840" max="13844" width="12.6640625" style="293" bestFit="1" customWidth="1"/>
    <col min="13845" max="13845" width="13.33203125" style="293" bestFit="1" customWidth="1"/>
    <col min="13846" max="13865" width="12.6640625" style="293" bestFit="1" customWidth="1"/>
    <col min="13866" max="13867" width="13.33203125" style="293" bestFit="1" customWidth="1"/>
    <col min="13868" max="13868" width="11.33203125" style="293" customWidth="1"/>
    <col min="13869" max="13869" width="13.44140625" style="293" bestFit="1" customWidth="1"/>
    <col min="13870" max="14085" width="8.6640625" style="293"/>
    <col min="14086" max="14086" width="9.33203125" style="293" customWidth="1"/>
    <col min="14087" max="14087" width="29.6640625" style="293" customWidth="1"/>
    <col min="14088" max="14089" width="12.6640625" style="293" customWidth="1"/>
    <col min="14090" max="14090" width="13.6640625" style="293" bestFit="1" customWidth="1"/>
    <col min="14091" max="14095" width="12.33203125" style="293" bestFit="1" customWidth="1"/>
    <col min="14096" max="14100" width="12.6640625" style="293" bestFit="1" customWidth="1"/>
    <col min="14101" max="14101" width="13.33203125" style="293" bestFit="1" customWidth="1"/>
    <col min="14102" max="14121" width="12.6640625" style="293" bestFit="1" customWidth="1"/>
    <col min="14122" max="14123" width="13.33203125" style="293" bestFit="1" customWidth="1"/>
    <col min="14124" max="14124" width="11.33203125" style="293" customWidth="1"/>
    <col min="14125" max="14125" width="13.44140625" style="293" bestFit="1" customWidth="1"/>
    <col min="14126" max="14341" width="8.6640625" style="293"/>
    <col min="14342" max="14342" width="9.33203125" style="293" customWidth="1"/>
    <col min="14343" max="14343" width="29.6640625" style="293" customWidth="1"/>
    <col min="14344" max="14345" width="12.6640625" style="293" customWidth="1"/>
    <col min="14346" max="14346" width="13.6640625" style="293" bestFit="1" customWidth="1"/>
    <col min="14347" max="14351" width="12.33203125" style="293" bestFit="1" customWidth="1"/>
    <col min="14352" max="14356" width="12.6640625" style="293" bestFit="1" customWidth="1"/>
    <col min="14357" max="14357" width="13.33203125" style="293" bestFit="1" customWidth="1"/>
    <col min="14358" max="14377" width="12.6640625" style="293" bestFit="1" customWidth="1"/>
    <col min="14378" max="14379" width="13.33203125" style="293" bestFit="1" customWidth="1"/>
    <col min="14380" max="14380" width="11.33203125" style="293" customWidth="1"/>
    <col min="14381" max="14381" width="13.44140625" style="293" bestFit="1" customWidth="1"/>
    <col min="14382" max="14597" width="8.6640625" style="293"/>
    <col min="14598" max="14598" width="9.33203125" style="293" customWidth="1"/>
    <col min="14599" max="14599" width="29.6640625" style="293" customWidth="1"/>
    <col min="14600" max="14601" width="12.6640625" style="293" customWidth="1"/>
    <col min="14602" max="14602" width="13.6640625" style="293" bestFit="1" customWidth="1"/>
    <col min="14603" max="14607" width="12.33203125" style="293" bestFit="1" customWidth="1"/>
    <col min="14608" max="14612" width="12.6640625" style="293" bestFit="1" customWidth="1"/>
    <col min="14613" max="14613" width="13.33203125" style="293" bestFit="1" customWidth="1"/>
    <col min="14614" max="14633" width="12.6640625" style="293" bestFit="1" customWidth="1"/>
    <col min="14634" max="14635" width="13.33203125" style="293" bestFit="1" customWidth="1"/>
    <col min="14636" max="14636" width="11.33203125" style="293" customWidth="1"/>
    <col min="14637" max="14637" width="13.44140625" style="293" bestFit="1" customWidth="1"/>
    <col min="14638" max="14853" width="8.6640625" style="293"/>
    <col min="14854" max="14854" width="9.33203125" style="293" customWidth="1"/>
    <col min="14855" max="14855" width="29.6640625" style="293" customWidth="1"/>
    <col min="14856" max="14857" width="12.6640625" style="293" customWidth="1"/>
    <col min="14858" max="14858" width="13.6640625" style="293" bestFit="1" customWidth="1"/>
    <col min="14859" max="14863" width="12.33203125" style="293" bestFit="1" customWidth="1"/>
    <col min="14864" max="14868" width="12.6640625" style="293" bestFit="1" customWidth="1"/>
    <col min="14869" max="14869" width="13.33203125" style="293" bestFit="1" customWidth="1"/>
    <col min="14870" max="14889" width="12.6640625" style="293" bestFit="1" customWidth="1"/>
    <col min="14890" max="14891" width="13.33203125" style="293" bestFit="1" customWidth="1"/>
    <col min="14892" max="14892" width="11.33203125" style="293" customWidth="1"/>
    <col min="14893" max="14893" width="13.44140625" style="293" bestFit="1" customWidth="1"/>
    <col min="14894" max="15109" width="8.6640625" style="293"/>
    <col min="15110" max="15110" width="9.33203125" style="293" customWidth="1"/>
    <col min="15111" max="15111" width="29.6640625" style="293" customWidth="1"/>
    <col min="15112" max="15113" width="12.6640625" style="293" customWidth="1"/>
    <col min="15114" max="15114" width="13.6640625" style="293" bestFit="1" customWidth="1"/>
    <col min="15115" max="15119" width="12.33203125" style="293" bestFit="1" customWidth="1"/>
    <col min="15120" max="15124" width="12.6640625" style="293" bestFit="1" customWidth="1"/>
    <col min="15125" max="15125" width="13.33203125" style="293" bestFit="1" customWidth="1"/>
    <col min="15126" max="15145" width="12.6640625" style="293" bestFit="1" customWidth="1"/>
    <col min="15146" max="15147" width="13.33203125" style="293" bestFit="1" customWidth="1"/>
    <col min="15148" max="15148" width="11.33203125" style="293" customWidth="1"/>
    <col min="15149" max="15149" width="13.44140625" style="293" bestFit="1" customWidth="1"/>
    <col min="15150" max="15365" width="8.6640625" style="293"/>
    <col min="15366" max="15366" width="9.33203125" style="293" customWidth="1"/>
    <col min="15367" max="15367" width="29.6640625" style="293" customWidth="1"/>
    <col min="15368" max="15369" width="12.6640625" style="293" customWidth="1"/>
    <col min="15370" max="15370" width="13.6640625" style="293" bestFit="1" customWidth="1"/>
    <col min="15371" max="15375" width="12.33203125" style="293" bestFit="1" customWidth="1"/>
    <col min="15376" max="15380" width="12.6640625" style="293" bestFit="1" customWidth="1"/>
    <col min="15381" max="15381" width="13.33203125" style="293" bestFit="1" customWidth="1"/>
    <col min="15382" max="15401" width="12.6640625" style="293" bestFit="1" customWidth="1"/>
    <col min="15402" max="15403" width="13.33203125" style="293" bestFit="1" customWidth="1"/>
    <col min="15404" max="15404" width="11.33203125" style="293" customWidth="1"/>
    <col min="15405" max="15405" width="13.44140625" style="293" bestFit="1" customWidth="1"/>
    <col min="15406" max="15621" width="8.6640625" style="293"/>
    <col min="15622" max="15622" width="9.33203125" style="293" customWidth="1"/>
    <col min="15623" max="15623" width="29.6640625" style="293" customWidth="1"/>
    <col min="15624" max="15625" width="12.6640625" style="293" customWidth="1"/>
    <col min="15626" max="15626" width="13.6640625" style="293" bestFit="1" customWidth="1"/>
    <col min="15627" max="15631" width="12.33203125" style="293" bestFit="1" customWidth="1"/>
    <col min="15632" max="15636" width="12.6640625" style="293" bestFit="1" customWidth="1"/>
    <col min="15637" max="15637" width="13.33203125" style="293" bestFit="1" customWidth="1"/>
    <col min="15638" max="15657" width="12.6640625" style="293" bestFit="1" customWidth="1"/>
    <col min="15658" max="15659" width="13.33203125" style="293" bestFit="1" customWidth="1"/>
    <col min="15660" max="15660" width="11.33203125" style="293" customWidth="1"/>
    <col min="15661" max="15661" width="13.44140625" style="293" bestFit="1" customWidth="1"/>
    <col min="15662" max="15877" width="8.6640625" style="293"/>
    <col min="15878" max="15878" width="9.33203125" style="293" customWidth="1"/>
    <col min="15879" max="15879" width="29.6640625" style="293" customWidth="1"/>
    <col min="15880" max="15881" width="12.6640625" style="293" customWidth="1"/>
    <col min="15882" max="15882" width="13.6640625" style="293" bestFit="1" customWidth="1"/>
    <col min="15883" max="15887" width="12.33203125" style="293" bestFit="1" customWidth="1"/>
    <col min="15888" max="15892" width="12.6640625" style="293" bestFit="1" customWidth="1"/>
    <col min="15893" max="15893" width="13.33203125" style="293" bestFit="1" customWidth="1"/>
    <col min="15894" max="15913" width="12.6640625" style="293" bestFit="1" customWidth="1"/>
    <col min="15914" max="15915" width="13.33203125" style="293" bestFit="1" customWidth="1"/>
    <col min="15916" max="15916" width="11.33203125" style="293" customWidth="1"/>
    <col min="15917" max="15917" width="13.44140625" style="293" bestFit="1" customWidth="1"/>
    <col min="15918" max="16133" width="8.6640625" style="293"/>
    <col min="16134" max="16134" width="9.33203125" style="293" customWidth="1"/>
    <col min="16135" max="16135" width="29.6640625" style="293" customWidth="1"/>
    <col min="16136" max="16137" width="12.6640625" style="293" customWidth="1"/>
    <col min="16138" max="16138" width="13.6640625" style="293" bestFit="1" customWidth="1"/>
    <col min="16139" max="16143" width="12.33203125" style="293" bestFit="1" customWidth="1"/>
    <col min="16144" max="16148" width="12.6640625" style="293" bestFit="1" customWidth="1"/>
    <col min="16149" max="16149" width="13.33203125" style="293" bestFit="1" customWidth="1"/>
    <col min="16150" max="16169" width="12.6640625" style="293" bestFit="1" customWidth="1"/>
    <col min="16170" max="16171" width="13.33203125" style="293" bestFit="1" customWidth="1"/>
    <col min="16172" max="16172" width="11.33203125" style="293" customWidth="1"/>
    <col min="16173" max="16173" width="13.44140625" style="293" bestFit="1" customWidth="1"/>
    <col min="16174" max="16384" width="8.6640625" style="293"/>
  </cols>
  <sheetData>
    <row r="4" spans="1:49" ht="18.75" customHeight="1">
      <c r="A4" s="459" t="s">
        <v>32</v>
      </c>
      <c r="B4" s="460"/>
      <c r="C4" s="460"/>
      <c r="D4" s="460"/>
      <c r="E4" s="292"/>
      <c r="F4" s="292"/>
      <c r="G4" s="292"/>
      <c r="H4" s="292"/>
      <c r="I4" s="292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293"/>
      <c r="AM4" s="293"/>
      <c r="AN4" s="293"/>
      <c r="AO4" s="293"/>
      <c r="AP4" s="293"/>
      <c r="AQ4" s="293"/>
      <c r="AR4" s="293"/>
      <c r="AS4" s="293"/>
      <c r="AT4" s="287"/>
      <c r="AU4" s="293"/>
      <c r="AV4" s="293"/>
      <c r="AW4" s="293"/>
    </row>
    <row r="5" spans="1:49">
      <c r="A5" s="462"/>
      <c r="B5" s="294"/>
      <c r="C5" s="294"/>
      <c r="D5" s="294"/>
      <c r="E5" s="292"/>
      <c r="F5" s="292"/>
      <c r="G5" s="292"/>
      <c r="H5" s="292"/>
      <c r="I5" s="292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293"/>
      <c r="AM5" s="293"/>
      <c r="AN5" s="293"/>
      <c r="AO5" s="293"/>
      <c r="AP5" s="293"/>
      <c r="AQ5" s="293"/>
      <c r="AR5" s="293"/>
      <c r="AS5" s="293"/>
      <c r="AT5" s="287"/>
      <c r="AU5" s="293"/>
      <c r="AV5" s="293"/>
      <c r="AW5" s="293"/>
    </row>
    <row r="6" spans="1:49" s="294" customFormat="1">
      <c r="A6" s="463"/>
      <c r="J6" s="464">
        <v>1</v>
      </c>
      <c r="K6" s="464">
        <v>2</v>
      </c>
      <c r="L6" s="464">
        <v>3</v>
      </c>
      <c r="M6" s="464">
        <v>4</v>
      </c>
      <c r="N6" s="464">
        <v>5</v>
      </c>
      <c r="O6" s="464">
        <v>6</v>
      </c>
      <c r="P6" s="464">
        <v>7</v>
      </c>
      <c r="Q6" s="464">
        <v>8</v>
      </c>
      <c r="R6" s="464">
        <v>9</v>
      </c>
      <c r="S6" s="464">
        <v>10</v>
      </c>
      <c r="T6" s="464">
        <v>11</v>
      </c>
      <c r="U6" s="464">
        <v>12</v>
      </c>
      <c r="V6" s="464">
        <v>13</v>
      </c>
      <c r="W6" s="464">
        <v>14</v>
      </c>
      <c r="X6" s="464">
        <v>15</v>
      </c>
      <c r="Y6" s="464">
        <v>16</v>
      </c>
      <c r="Z6" s="464">
        <v>17</v>
      </c>
      <c r="AA6" s="464">
        <v>18</v>
      </c>
      <c r="AB6" s="464">
        <v>19</v>
      </c>
      <c r="AC6" s="464">
        <v>20</v>
      </c>
      <c r="AD6" s="464">
        <v>21</v>
      </c>
      <c r="AE6" s="464">
        <v>22</v>
      </c>
      <c r="AF6" s="464">
        <v>23</v>
      </c>
      <c r="AG6" s="464">
        <v>24</v>
      </c>
      <c r="AH6" s="464">
        <v>25</v>
      </c>
      <c r="AI6" s="464">
        <v>26</v>
      </c>
      <c r="AJ6" s="464">
        <v>27</v>
      </c>
      <c r="AK6" s="464">
        <v>28</v>
      </c>
      <c r="AL6" s="464">
        <v>29</v>
      </c>
      <c r="AM6" s="464">
        <v>30</v>
      </c>
      <c r="AN6" s="464">
        <v>31</v>
      </c>
      <c r="AO6" s="464">
        <v>32</v>
      </c>
      <c r="AP6" s="464">
        <v>33</v>
      </c>
      <c r="AQ6" s="464">
        <v>34</v>
      </c>
      <c r="AR6" s="464">
        <v>35</v>
      </c>
      <c r="AS6" s="464">
        <v>36</v>
      </c>
    </row>
    <row r="7" spans="1:49" s="294" customFormat="1">
      <c r="A7" s="463"/>
      <c r="B7" s="464" t="s">
        <v>14</v>
      </c>
      <c r="C7" s="464" t="s">
        <v>15</v>
      </c>
      <c r="D7" s="464" t="s">
        <v>16</v>
      </c>
      <c r="E7" s="465" t="s">
        <v>14</v>
      </c>
      <c r="F7" s="465" t="s">
        <v>15</v>
      </c>
      <c r="G7" s="465" t="s">
        <v>16</v>
      </c>
      <c r="H7" s="466" t="s">
        <v>30</v>
      </c>
      <c r="I7" s="466" t="s">
        <v>31</v>
      </c>
      <c r="J7" s="464" t="s">
        <v>14</v>
      </c>
      <c r="K7" s="464" t="s">
        <v>14</v>
      </c>
      <c r="L7" s="464" t="s">
        <v>14</v>
      </c>
      <c r="M7" s="464" t="s">
        <v>14</v>
      </c>
      <c r="N7" s="464" t="s">
        <v>14</v>
      </c>
      <c r="O7" s="464" t="s">
        <v>14</v>
      </c>
      <c r="P7" s="464" t="s">
        <v>14</v>
      </c>
      <c r="Q7" s="464" t="s">
        <v>14</v>
      </c>
      <c r="R7" s="464" t="s">
        <v>14</v>
      </c>
      <c r="S7" s="464" t="s">
        <v>14</v>
      </c>
      <c r="T7" s="464" t="s">
        <v>14</v>
      </c>
      <c r="U7" s="464" t="s">
        <v>14</v>
      </c>
      <c r="V7" s="464" t="s">
        <v>15</v>
      </c>
      <c r="W7" s="464" t="s">
        <v>15</v>
      </c>
      <c r="X7" s="464" t="s">
        <v>15</v>
      </c>
      <c r="Y7" s="464" t="s">
        <v>15</v>
      </c>
      <c r="Z7" s="464" t="s">
        <v>15</v>
      </c>
      <c r="AA7" s="464" t="s">
        <v>15</v>
      </c>
      <c r="AB7" s="464" t="s">
        <v>15</v>
      </c>
      <c r="AC7" s="464" t="s">
        <v>15</v>
      </c>
      <c r="AD7" s="464" t="s">
        <v>15</v>
      </c>
      <c r="AE7" s="464" t="s">
        <v>15</v>
      </c>
      <c r="AF7" s="464" t="s">
        <v>15</v>
      </c>
      <c r="AG7" s="464" t="s">
        <v>15</v>
      </c>
      <c r="AH7" s="464" t="s">
        <v>16</v>
      </c>
      <c r="AI7" s="464" t="s">
        <v>16</v>
      </c>
      <c r="AJ7" s="464" t="s">
        <v>16</v>
      </c>
      <c r="AK7" s="464" t="s">
        <v>16</v>
      </c>
      <c r="AL7" s="464" t="s">
        <v>16</v>
      </c>
      <c r="AM7" s="464" t="s">
        <v>16</v>
      </c>
      <c r="AN7" s="464" t="s">
        <v>16</v>
      </c>
      <c r="AO7" s="464" t="s">
        <v>16</v>
      </c>
      <c r="AP7" s="464" t="s">
        <v>16</v>
      </c>
      <c r="AQ7" s="464" t="s">
        <v>16</v>
      </c>
      <c r="AR7" s="464" t="s">
        <v>16</v>
      </c>
      <c r="AS7" s="464" t="s">
        <v>16</v>
      </c>
    </row>
    <row r="8" spans="1:49">
      <c r="A8" s="462" t="s">
        <v>17</v>
      </c>
      <c r="B8" s="467" t="s">
        <v>265</v>
      </c>
      <c r="C8" s="294"/>
      <c r="D8" s="294"/>
      <c r="E8" s="464" t="s">
        <v>0</v>
      </c>
      <c r="F8" s="464" t="s">
        <v>0</v>
      </c>
      <c r="G8" s="464" t="s">
        <v>0</v>
      </c>
      <c r="H8" s="464" t="s">
        <v>18</v>
      </c>
      <c r="I8" s="464" t="s">
        <v>18</v>
      </c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287"/>
      <c r="AU8" s="293"/>
      <c r="AV8" s="293"/>
      <c r="AW8" s="293"/>
    </row>
    <row r="9" spans="1:49" ht="24" customHeight="1">
      <c r="A9" s="469" t="s">
        <v>157</v>
      </c>
      <c r="B9" s="295"/>
      <c r="C9" s="295"/>
      <c r="D9" s="295"/>
      <c r="E9" s="296">
        <f>SUMIF($J$7:$AS$7,$E$7,$J9:$AS9)</f>
        <v>210730609</v>
      </c>
      <c r="F9" s="296">
        <f>SUMIF($J$7:$AS$7,$F$7,$J9:$AS9)</f>
        <v>504328948</v>
      </c>
      <c r="G9" s="296">
        <f>SUMIF($J$7:$AS$7,$G$7,$J9:$AS9)</f>
        <v>657695388</v>
      </c>
      <c r="H9" s="38">
        <f>IFERROR(F9/E9-1,0)</f>
        <v>1.3932401201384086</v>
      </c>
      <c r="I9" s="38">
        <f>IFERROR(G9/F9-1,0)</f>
        <v>0.30410001370771989</v>
      </c>
      <c r="J9" s="39">
        <f>J35+J41+J47+J53+J59+J74+J90+J91</f>
        <v>7070682</v>
      </c>
      <c r="K9" s="39">
        <f t="shared" ref="K9:AS9" si="0">K35+K41+K47+K53+K59+K74+K90+K91</f>
        <v>8941609</v>
      </c>
      <c r="L9" s="39">
        <f t="shared" si="0"/>
        <v>12537100</v>
      </c>
      <c r="M9" s="39">
        <f t="shared" si="0"/>
        <v>14452242</v>
      </c>
      <c r="N9" s="39">
        <f t="shared" si="0"/>
        <v>17864933</v>
      </c>
      <c r="O9" s="39">
        <f t="shared" si="0"/>
        <v>19797713</v>
      </c>
      <c r="P9" s="39">
        <f t="shared" si="0"/>
        <v>21573555</v>
      </c>
      <c r="Q9" s="39">
        <f t="shared" si="0"/>
        <v>21573555</v>
      </c>
      <c r="R9" s="39">
        <f t="shared" si="0"/>
        <v>21698555</v>
      </c>
      <c r="S9" s="39">
        <f t="shared" si="0"/>
        <v>21698555</v>
      </c>
      <c r="T9" s="39">
        <f t="shared" si="0"/>
        <v>21761055</v>
      </c>
      <c r="U9" s="39">
        <f t="shared" si="0"/>
        <v>21761055</v>
      </c>
      <c r="V9" s="39">
        <f t="shared" si="0"/>
        <v>41951579</v>
      </c>
      <c r="W9" s="39">
        <f t="shared" si="0"/>
        <v>41951579</v>
      </c>
      <c r="X9" s="39">
        <f t="shared" si="0"/>
        <v>41951579</v>
      </c>
      <c r="Y9" s="39">
        <f t="shared" si="0"/>
        <v>41951579</v>
      </c>
      <c r="Z9" s="39">
        <f t="shared" si="0"/>
        <v>41951579</v>
      </c>
      <c r="AA9" s="39">
        <f t="shared" si="0"/>
        <v>42081579</v>
      </c>
      <c r="AB9" s="39">
        <f t="shared" si="0"/>
        <v>42081579</v>
      </c>
      <c r="AC9" s="39">
        <f t="shared" si="0"/>
        <v>42081579</v>
      </c>
      <c r="AD9" s="39">
        <f t="shared" si="0"/>
        <v>42081579</v>
      </c>
      <c r="AE9" s="39">
        <f t="shared" si="0"/>
        <v>42081579</v>
      </c>
      <c r="AF9" s="39">
        <f t="shared" si="0"/>
        <v>42081579</v>
      </c>
      <c r="AG9" s="39">
        <f t="shared" si="0"/>
        <v>42081579</v>
      </c>
      <c r="AH9" s="39">
        <f t="shared" si="0"/>
        <v>56169199</v>
      </c>
      <c r="AI9" s="39">
        <f t="shared" si="0"/>
        <v>54684199</v>
      </c>
      <c r="AJ9" s="39">
        <f t="shared" si="0"/>
        <v>54684199</v>
      </c>
      <c r="AK9" s="39">
        <f t="shared" si="0"/>
        <v>54684199</v>
      </c>
      <c r="AL9" s="39">
        <f t="shared" si="0"/>
        <v>54684199</v>
      </c>
      <c r="AM9" s="39">
        <f t="shared" si="0"/>
        <v>54684199</v>
      </c>
      <c r="AN9" s="39">
        <f t="shared" si="0"/>
        <v>54684199</v>
      </c>
      <c r="AO9" s="39">
        <f t="shared" si="0"/>
        <v>54684199</v>
      </c>
      <c r="AP9" s="39">
        <f t="shared" si="0"/>
        <v>54684199</v>
      </c>
      <c r="AQ9" s="39">
        <f t="shared" si="0"/>
        <v>54684199</v>
      </c>
      <c r="AR9" s="39">
        <f t="shared" si="0"/>
        <v>54684199</v>
      </c>
      <c r="AS9" s="39">
        <f t="shared" si="0"/>
        <v>54684199</v>
      </c>
      <c r="AT9" s="470"/>
      <c r="AU9" s="471"/>
      <c r="AV9" s="471"/>
      <c r="AW9" s="471"/>
    </row>
    <row r="10" spans="1:49" s="475" customFormat="1" ht="15.75" hidden="1" customHeight="1">
      <c r="A10" s="472" t="s">
        <v>300</v>
      </c>
      <c r="B10" s="298"/>
      <c r="C10" s="298"/>
      <c r="D10" s="298"/>
      <c r="E10" s="299">
        <f>SUMIF($J$7:$AS$7,$E$7,$J10:$AS10)</f>
        <v>85966400</v>
      </c>
      <c r="F10" s="299">
        <f t="shared" ref="F10:F12" si="1">SUMIF($J$7:$AS$7,$F$7,$J10:$AS10)</f>
        <v>194068000</v>
      </c>
      <c r="G10" s="299">
        <f t="shared" ref="G10:G12" si="2">SUMIF($J$7:$AS$7,$G$7,$J10:$AS10)</f>
        <v>252570000</v>
      </c>
      <c r="H10" s="57">
        <f t="shared" ref="H10:I12" si="3">IFERROR(F10/E10-1,0)</f>
        <v>1.2574866459453928</v>
      </c>
      <c r="I10" s="57">
        <f t="shared" si="3"/>
        <v>0.3014510377805717</v>
      </c>
      <c r="J10" s="58">
        <f>J41+J47+J53+J59+J86+J66+J70-J11</f>
        <v>2884500</v>
      </c>
      <c r="K10" s="58">
        <f t="shared" ref="K10:AS10" si="4">K41+K47+K53+K59+K86+K66+K70-K11</f>
        <v>3607700</v>
      </c>
      <c r="L10" s="58">
        <f t="shared" si="4"/>
        <v>5064100</v>
      </c>
      <c r="M10" s="58">
        <f t="shared" si="4"/>
        <v>5922300</v>
      </c>
      <c r="N10" s="58">
        <f t="shared" si="4"/>
        <v>7287900</v>
      </c>
      <c r="O10" s="58">
        <f t="shared" si="4"/>
        <v>7980100</v>
      </c>
      <c r="P10" s="58">
        <f t="shared" si="4"/>
        <v>8765800</v>
      </c>
      <c r="Q10" s="58">
        <f t="shared" si="4"/>
        <v>8765800</v>
      </c>
      <c r="R10" s="58">
        <f t="shared" si="4"/>
        <v>8890800</v>
      </c>
      <c r="S10" s="58">
        <f t="shared" si="4"/>
        <v>8890800</v>
      </c>
      <c r="T10" s="58">
        <f t="shared" si="4"/>
        <v>8953300</v>
      </c>
      <c r="U10" s="58">
        <f t="shared" si="4"/>
        <v>8953300</v>
      </c>
      <c r="V10" s="58">
        <f>V41+V47+V53+V59+V86+V66+V70-V11</f>
        <v>16096500</v>
      </c>
      <c r="W10" s="58">
        <f t="shared" si="4"/>
        <v>16096500</v>
      </c>
      <c r="X10" s="58">
        <f t="shared" si="4"/>
        <v>16096500</v>
      </c>
      <c r="Y10" s="58">
        <f t="shared" si="4"/>
        <v>16096500</v>
      </c>
      <c r="Z10" s="58">
        <f t="shared" si="4"/>
        <v>16096500</v>
      </c>
      <c r="AA10" s="58">
        <f t="shared" si="4"/>
        <v>16226500</v>
      </c>
      <c r="AB10" s="58">
        <f t="shared" si="4"/>
        <v>16226500</v>
      </c>
      <c r="AC10" s="58">
        <f t="shared" si="4"/>
        <v>16226500</v>
      </c>
      <c r="AD10" s="58">
        <f t="shared" si="4"/>
        <v>16226500</v>
      </c>
      <c r="AE10" s="58">
        <f t="shared" si="4"/>
        <v>16226500</v>
      </c>
      <c r="AF10" s="58">
        <f t="shared" si="4"/>
        <v>16226500</v>
      </c>
      <c r="AG10" s="58">
        <f t="shared" si="4"/>
        <v>16226500</v>
      </c>
      <c r="AH10" s="58">
        <f t="shared" si="4"/>
        <v>21047500</v>
      </c>
      <c r="AI10" s="58">
        <f t="shared" si="4"/>
        <v>21047500</v>
      </c>
      <c r="AJ10" s="58">
        <f t="shared" si="4"/>
        <v>21047500</v>
      </c>
      <c r="AK10" s="58">
        <f t="shared" si="4"/>
        <v>21047500</v>
      </c>
      <c r="AL10" s="58">
        <f t="shared" si="4"/>
        <v>21047500</v>
      </c>
      <c r="AM10" s="58">
        <f t="shared" si="4"/>
        <v>21047500</v>
      </c>
      <c r="AN10" s="58">
        <f t="shared" si="4"/>
        <v>21047500</v>
      </c>
      <c r="AO10" s="58">
        <f t="shared" si="4"/>
        <v>21047500</v>
      </c>
      <c r="AP10" s="58">
        <f t="shared" si="4"/>
        <v>21047500</v>
      </c>
      <c r="AQ10" s="58">
        <f t="shared" si="4"/>
        <v>21047500</v>
      </c>
      <c r="AR10" s="58">
        <f t="shared" si="4"/>
        <v>21047500</v>
      </c>
      <c r="AS10" s="58">
        <f t="shared" si="4"/>
        <v>21047500</v>
      </c>
      <c r="AT10" s="473"/>
      <c r="AU10" s="474"/>
      <c r="AV10" s="474"/>
      <c r="AW10" s="474"/>
    </row>
    <row r="11" spans="1:49" s="475" customFormat="1" ht="15.75" hidden="1" customHeight="1">
      <c r="A11" s="472" t="s">
        <v>301</v>
      </c>
      <c r="B11" s="298"/>
      <c r="C11" s="298"/>
      <c r="D11" s="298"/>
      <c r="E11" s="299">
        <f>SUMIF($J$7:$AS$7,$E$7,$J11:$AS11)</f>
        <v>103350000</v>
      </c>
      <c r="F11" s="299">
        <f t="shared" si="1"/>
        <v>260400000</v>
      </c>
      <c r="G11" s="299">
        <f>SUMIF($J$7:$AS$7,$G$7,$J11:$AS11)</f>
        <v>361620000</v>
      </c>
      <c r="H11" s="57">
        <f t="shared" si="3"/>
        <v>1.5195936139332367</v>
      </c>
      <c r="I11" s="57">
        <f t="shared" si="3"/>
        <v>0.3887096774193548</v>
      </c>
      <c r="J11" s="58">
        <f>J47+J86</f>
        <v>3510000</v>
      </c>
      <c r="K11" s="58">
        <f t="shared" ref="K11:AS11" si="5">K47+K86</f>
        <v>4420000</v>
      </c>
      <c r="L11" s="58">
        <f t="shared" si="5"/>
        <v>6175000</v>
      </c>
      <c r="M11" s="58">
        <f t="shared" si="5"/>
        <v>7085000</v>
      </c>
      <c r="N11" s="58">
        <f t="shared" si="5"/>
        <v>8840000</v>
      </c>
      <c r="O11" s="58">
        <f t="shared" si="5"/>
        <v>9750000</v>
      </c>
      <c r="P11" s="58">
        <f t="shared" si="5"/>
        <v>10595000</v>
      </c>
      <c r="Q11" s="58">
        <f t="shared" si="5"/>
        <v>10595000</v>
      </c>
      <c r="R11" s="58">
        <f t="shared" si="5"/>
        <v>10595000</v>
      </c>
      <c r="S11" s="58">
        <f t="shared" si="5"/>
        <v>10595000</v>
      </c>
      <c r="T11" s="58">
        <f t="shared" si="5"/>
        <v>10595000</v>
      </c>
      <c r="U11" s="58">
        <f t="shared" si="5"/>
        <v>10595000</v>
      </c>
      <c r="V11" s="58">
        <f t="shared" si="5"/>
        <v>21700000</v>
      </c>
      <c r="W11" s="58">
        <f t="shared" si="5"/>
        <v>21700000</v>
      </c>
      <c r="X11" s="58">
        <f t="shared" si="5"/>
        <v>21700000</v>
      </c>
      <c r="Y11" s="58">
        <f t="shared" si="5"/>
        <v>21700000</v>
      </c>
      <c r="Z11" s="58">
        <f t="shared" si="5"/>
        <v>21700000</v>
      </c>
      <c r="AA11" s="58">
        <f t="shared" si="5"/>
        <v>21700000</v>
      </c>
      <c r="AB11" s="58">
        <f t="shared" si="5"/>
        <v>21700000</v>
      </c>
      <c r="AC11" s="58">
        <f t="shared" si="5"/>
        <v>21700000</v>
      </c>
      <c r="AD11" s="58">
        <f t="shared" si="5"/>
        <v>21700000</v>
      </c>
      <c r="AE11" s="58">
        <f t="shared" si="5"/>
        <v>21700000</v>
      </c>
      <c r="AF11" s="58">
        <f t="shared" si="5"/>
        <v>21700000</v>
      </c>
      <c r="AG11" s="58">
        <f t="shared" si="5"/>
        <v>21700000</v>
      </c>
      <c r="AH11" s="58">
        <f t="shared" si="5"/>
        <v>30135000</v>
      </c>
      <c r="AI11" s="58">
        <f t="shared" si="5"/>
        <v>30135000</v>
      </c>
      <c r="AJ11" s="58">
        <f t="shared" si="5"/>
        <v>30135000</v>
      </c>
      <c r="AK11" s="58">
        <f t="shared" si="5"/>
        <v>30135000</v>
      </c>
      <c r="AL11" s="58">
        <f t="shared" si="5"/>
        <v>30135000</v>
      </c>
      <c r="AM11" s="58">
        <f t="shared" si="5"/>
        <v>30135000</v>
      </c>
      <c r="AN11" s="58">
        <f t="shared" si="5"/>
        <v>30135000</v>
      </c>
      <c r="AO11" s="58">
        <f t="shared" si="5"/>
        <v>30135000</v>
      </c>
      <c r="AP11" s="58">
        <f t="shared" si="5"/>
        <v>30135000</v>
      </c>
      <c r="AQ11" s="58">
        <f t="shared" si="5"/>
        <v>30135000</v>
      </c>
      <c r="AR11" s="58">
        <f t="shared" si="5"/>
        <v>30135000</v>
      </c>
      <c r="AS11" s="58">
        <f t="shared" si="5"/>
        <v>30135000</v>
      </c>
      <c r="AT11" s="473"/>
      <c r="AU11" s="474"/>
      <c r="AV11" s="474"/>
      <c r="AW11" s="474"/>
    </row>
    <row r="12" spans="1:49" s="475" customFormat="1" ht="15" hidden="1" customHeight="1">
      <c r="A12" s="472" t="s">
        <v>233</v>
      </c>
      <c r="B12" s="298"/>
      <c r="C12" s="298"/>
      <c r="D12" s="298"/>
      <c r="E12" s="299">
        <f t="shared" ref="E12" si="6">SUMIF($J$7:$AS$7,$E$7,$J12:$AS12)</f>
        <v>21414209</v>
      </c>
      <c r="F12" s="299">
        <f t="shared" si="1"/>
        <v>49860948</v>
      </c>
      <c r="G12" s="299">
        <f t="shared" si="2"/>
        <v>43505388</v>
      </c>
      <c r="H12" s="57">
        <f t="shared" si="3"/>
        <v>1.3284048455864048</v>
      </c>
      <c r="I12" s="57">
        <f t="shared" si="3"/>
        <v>-0.12746568717466022</v>
      </c>
      <c r="J12" s="58">
        <f>J35+J62+J77+J81+J91</f>
        <v>676182.00000000012</v>
      </c>
      <c r="K12" s="58">
        <f t="shared" ref="K12:AS12" si="7">K35+K62+K77+K81+K91</f>
        <v>913909</v>
      </c>
      <c r="L12" s="58">
        <f t="shared" si="7"/>
        <v>1298000</v>
      </c>
      <c r="M12" s="58">
        <f t="shared" si="7"/>
        <v>1444942.0000000002</v>
      </c>
      <c r="N12" s="58">
        <f t="shared" si="7"/>
        <v>1737033</v>
      </c>
      <c r="O12" s="58">
        <f t="shared" si="7"/>
        <v>2067613</v>
      </c>
      <c r="P12" s="58">
        <f t="shared" si="7"/>
        <v>2212755</v>
      </c>
      <c r="Q12" s="58">
        <f t="shared" si="7"/>
        <v>2212755</v>
      </c>
      <c r="R12" s="58">
        <f t="shared" si="7"/>
        <v>2212755</v>
      </c>
      <c r="S12" s="58">
        <f t="shared" si="7"/>
        <v>2212755</v>
      </c>
      <c r="T12" s="58">
        <f t="shared" si="7"/>
        <v>2212755</v>
      </c>
      <c r="U12" s="58">
        <f t="shared" si="7"/>
        <v>2212755</v>
      </c>
      <c r="V12" s="58">
        <f t="shared" si="7"/>
        <v>4155079</v>
      </c>
      <c r="W12" s="58">
        <f t="shared" si="7"/>
        <v>4155079</v>
      </c>
      <c r="X12" s="58">
        <f t="shared" si="7"/>
        <v>4155079</v>
      </c>
      <c r="Y12" s="58">
        <f t="shared" si="7"/>
        <v>4155079</v>
      </c>
      <c r="Z12" s="58">
        <f t="shared" si="7"/>
        <v>4155079</v>
      </c>
      <c r="AA12" s="58">
        <f t="shared" si="7"/>
        <v>4155079</v>
      </c>
      <c r="AB12" s="58">
        <f t="shared" si="7"/>
        <v>4155079</v>
      </c>
      <c r="AC12" s="58">
        <f t="shared" si="7"/>
        <v>4155079</v>
      </c>
      <c r="AD12" s="58">
        <f t="shared" si="7"/>
        <v>4155079</v>
      </c>
      <c r="AE12" s="58">
        <f t="shared" si="7"/>
        <v>4155079</v>
      </c>
      <c r="AF12" s="58">
        <f t="shared" si="7"/>
        <v>4155079</v>
      </c>
      <c r="AG12" s="58">
        <f t="shared" si="7"/>
        <v>4155079</v>
      </c>
      <c r="AH12" s="58">
        <f t="shared" si="7"/>
        <v>4986699</v>
      </c>
      <c r="AI12" s="58">
        <f t="shared" si="7"/>
        <v>3501699</v>
      </c>
      <c r="AJ12" s="58">
        <f t="shared" si="7"/>
        <v>3501699</v>
      </c>
      <c r="AK12" s="58">
        <f t="shared" si="7"/>
        <v>3501699</v>
      </c>
      <c r="AL12" s="58">
        <f t="shared" si="7"/>
        <v>3501699</v>
      </c>
      <c r="AM12" s="58">
        <f t="shared" si="7"/>
        <v>3501699</v>
      </c>
      <c r="AN12" s="58">
        <f t="shared" si="7"/>
        <v>3501699</v>
      </c>
      <c r="AO12" s="58">
        <f t="shared" si="7"/>
        <v>3501699</v>
      </c>
      <c r="AP12" s="58">
        <f t="shared" si="7"/>
        <v>3501699</v>
      </c>
      <c r="AQ12" s="58">
        <f t="shared" si="7"/>
        <v>3501699</v>
      </c>
      <c r="AR12" s="58">
        <f t="shared" si="7"/>
        <v>3501699</v>
      </c>
      <c r="AS12" s="58">
        <f t="shared" si="7"/>
        <v>3501699</v>
      </c>
      <c r="AT12" s="473"/>
      <c r="AU12" s="474"/>
      <c r="AV12" s="474"/>
      <c r="AW12" s="474"/>
    </row>
    <row r="13" spans="1:49" s="478" customFormat="1" ht="6.75" customHeight="1">
      <c r="A13" s="476"/>
      <c r="B13" s="329"/>
      <c r="C13" s="329"/>
      <c r="D13" s="329"/>
      <c r="E13" s="330">
        <f>E9-E10-E12-E11</f>
        <v>0</v>
      </c>
      <c r="F13" s="330">
        <f>F9-F10-F12-F11</f>
        <v>0</v>
      </c>
      <c r="G13" s="330">
        <f t="shared" ref="G13" si="8">G9-G10-G12-G11</f>
        <v>0</v>
      </c>
      <c r="H13" s="331"/>
      <c r="I13" s="331"/>
      <c r="J13" s="330">
        <f t="shared" ref="J13:U13" si="9">J9-J10-J12-J11</f>
        <v>0</v>
      </c>
      <c r="K13" s="330">
        <f t="shared" si="9"/>
        <v>0</v>
      </c>
      <c r="L13" s="330">
        <f t="shared" si="9"/>
        <v>0</v>
      </c>
      <c r="M13" s="330">
        <f t="shared" si="9"/>
        <v>0</v>
      </c>
      <c r="N13" s="330">
        <f t="shared" si="9"/>
        <v>0</v>
      </c>
      <c r="O13" s="330">
        <f t="shared" si="9"/>
        <v>0</v>
      </c>
      <c r="P13" s="330">
        <f t="shared" si="9"/>
        <v>0</v>
      </c>
      <c r="Q13" s="330">
        <f t="shared" si="9"/>
        <v>0</v>
      </c>
      <c r="R13" s="330">
        <f t="shared" si="9"/>
        <v>0</v>
      </c>
      <c r="S13" s="330">
        <f t="shared" si="9"/>
        <v>0</v>
      </c>
      <c r="T13" s="330">
        <f t="shared" si="9"/>
        <v>0</v>
      </c>
      <c r="U13" s="330">
        <f t="shared" si="9"/>
        <v>0</v>
      </c>
      <c r="V13" s="330">
        <f>V9-V10-V12-V11</f>
        <v>0</v>
      </c>
      <c r="W13" s="330">
        <f t="shared" ref="W13:AS13" si="10">W9-W10-W12-W11</f>
        <v>0</v>
      </c>
      <c r="X13" s="330">
        <f t="shared" si="10"/>
        <v>0</v>
      </c>
      <c r="Y13" s="330">
        <f t="shared" si="10"/>
        <v>0</v>
      </c>
      <c r="Z13" s="330">
        <f t="shared" si="10"/>
        <v>0</v>
      </c>
      <c r="AA13" s="330">
        <f t="shared" si="10"/>
        <v>0</v>
      </c>
      <c r="AB13" s="330">
        <f t="shared" si="10"/>
        <v>0</v>
      </c>
      <c r="AC13" s="330">
        <f t="shared" si="10"/>
        <v>0</v>
      </c>
      <c r="AD13" s="330">
        <f t="shared" si="10"/>
        <v>0</v>
      </c>
      <c r="AE13" s="330">
        <f t="shared" si="10"/>
        <v>0</v>
      </c>
      <c r="AF13" s="330">
        <f t="shared" si="10"/>
        <v>0</v>
      </c>
      <c r="AG13" s="330">
        <f t="shared" si="10"/>
        <v>0</v>
      </c>
      <c r="AH13" s="330">
        <f t="shared" si="10"/>
        <v>0</v>
      </c>
      <c r="AI13" s="330">
        <f t="shared" si="10"/>
        <v>0</v>
      </c>
      <c r="AJ13" s="330">
        <f t="shared" si="10"/>
        <v>0</v>
      </c>
      <c r="AK13" s="330">
        <f t="shared" si="10"/>
        <v>0</v>
      </c>
      <c r="AL13" s="330">
        <f t="shared" si="10"/>
        <v>0</v>
      </c>
      <c r="AM13" s="330">
        <f t="shared" si="10"/>
        <v>0</v>
      </c>
      <c r="AN13" s="330">
        <f t="shared" si="10"/>
        <v>0</v>
      </c>
      <c r="AO13" s="330">
        <f t="shared" si="10"/>
        <v>0</v>
      </c>
      <c r="AP13" s="330">
        <f t="shared" si="10"/>
        <v>0</v>
      </c>
      <c r="AQ13" s="330">
        <f t="shared" si="10"/>
        <v>0</v>
      </c>
      <c r="AR13" s="330">
        <f t="shared" si="10"/>
        <v>0</v>
      </c>
      <c r="AS13" s="330">
        <f t="shared" si="10"/>
        <v>0</v>
      </c>
      <c r="AT13" s="477"/>
    </row>
    <row r="14" spans="1:49" ht="17.25" customHeight="1">
      <c r="A14" s="469" t="s">
        <v>239</v>
      </c>
      <c r="B14" s="295"/>
      <c r="C14" s="295"/>
      <c r="D14" s="295"/>
      <c r="E14" s="296">
        <f>SUMIF($J$7:$AS$7,$E$7,$J14:$AS14)</f>
        <v>3107</v>
      </c>
      <c r="F14" s="296">
        <f>SUMIF($J$7:$AS$7,$F$7,$J14:$AS14)</f>
        <v>6634</v>
      </c>
      <c r="G14" s="296">
        <f>SUMIF($J$7:$AS$7,$G$7,$J14:$AS14)</f>
        <v>8328</v>
      </c>
      <c r="H14" s="38">
        <f>IFERROR(F14/E14-1,0)</f>
        <v>1.1351786289024783</v>
      </c>
      <c r="I14" s="38">
        <f>IFERROR(G14/F14-1,0)</f>
        <v>0.25535122098281571</v>
      </c>
      <c r="J14" s="39">
        <f>J87+J71+J67+J58+J52+J46+J40</f>
        <v>100</v>
      </c>
      <c r="K14" s="39">
        <f t="shared" ref="K14:AS14" si="11">K87+K71+K67+K58+K52+K46+K40</f>
        <v>131</v>
      </c>
      <c r="L14" s="39">
        <f t="shared" si="11"/>
        <v>183</v>
      </c>
      <c r="M14" s="39">
        <f t="shared" si="11"/>
        <v>215</v>
      </c>
      <c r="N14" s="39">
        <f t="shared" si="11"/>
        <v>258</v>
      </c>
      <c r="O14" s="39">
        <f t="shared" si="11"/>
        <v>280</v>
      </c>
      <c r="P14" s="39">
        <f t="shared" si="11"/>
        <v>315</v>
      </c>
      <c r="Q14" s="39">
        <f t="shared" si="11"/>
        <v>315</v>
      </c>
      <c r="R14" s="39">
        <f t="shared" si="11"/>
        <v>325</v>
      </c>
      <c r="S14" s="39">
        <f t="shared" si="11"/>
        <v>325</v>
      </c>
      <c r="T14" s="39">
        <f t="shared" si="11"/>
        <v>330</v>
      </c>
      <c r="U14" s="39">
        <f t="shared" si="11"/>
        <v>330</v>
      </c>
      <c r="V14" s="39">
        <f t="shared" si="11"/>
        <v>547</v>
      </c>
      <c r="W14" s="39">
        <f t="shared" si="11"/>
        <v>547</v>
      </c>
      <c r="X14" s="39">
        <f t="shared" si="11"/>
        <v>547</v>
      </c>
      <c r="Y14" s="39">
        <f t="shared" si="11"/>
        <v>547</v>
      </c>
      <c r="Z14" s="39">
        <f t="shared" si="11"/>
        <v>547</v>
      </c>
      <c r="AA14" s="39">
        <f t="shared" si="11"/>
        <v>557</v>
      </c>
      <c r="AB14" s="39">
        <f t="shared" si="11"/>
        <v>557</v>
      </c>
      <c r="AC14" s="39">
        <f t="shared" si="11"/>
        <v>557</v>
      </c>
      <c r="AD14" s="39">
        <f t="shared" si="11"/>
        <v>557</v>
      </c>
      <c r="AE14" s="39">
        <f t="shared" si="11"/>
        <v>557</v>
      </c>
      <c r="AF14" s="39">
        <f t="shared" si="11"/>
        <v>557</v>
      </c>
      <c r="AG14" s="39">
        <f t="shared" si="11"/>
        <v>557</v>
      </c>
      <c r="AH14" s="39">
        <f t="shared" si="11"/>
        <v>694</v>
      </c>
      <c r="AI14" s="39">
        <f t="shared" si="11"/>
        <v>694</v>
      </c>
      <c r="AJ14" s="39">
        <f t="shared" si="11"/>
        <v>694</v>
      </c>
      <c r="AK14" s="39">
        <f t="shared" si="11"/>
        <v>694</v>
      </c>
      <c r="AL14" s="39">
        <f t="shared" si="11"/>
        <v>694</v>
      </c>
      <c r="AM14" s="39">
        <f t="shared" si="11"/>
        <v>694</v>
      </c>
      <c r="AN14" s="39">
        <f t="shared" si="11"/>
        <v>694</v>
      </c>
      <c r="AO14" s="39">
        <f t="shared" si="11"/>
        <v>694</v>
      </c>
      <c r="AP14" s="39">
        <f t="shared" si="11"/>
        <v>694</v>
      </c>
      <c r="AQ14" s="39">
        <f t="shared" si="11"/>
        <v>694</v>
      </c>
      <c r="AR14" s="39">
        <f t="shared" si="11"/>
        <v>694</v>
      </c>
      <c r="AS14" s="39">
        <f t="shared" si="11"/>
        <v>694</v>
      </c>
      <c r="AT14" s="287"/>
      <c r="AU14" s="293"/>
      <c r="AV14" s="293"/>
      <c r="AW14" s="293"/>
    </row>
    <row r="15" spans="1:49" ht="17.25" customHeight="1">
      <c r="A15" s="472" t="s">
        <v>240</v>
      </c>
      <c r="B15" s="298"/>
      <c r="C15" s="298"/>
      <c r="D15" s="298"/>
      <c r="E15" s="299">
        <f>E10/E14</f>
        <v>27668.619246861923</v>
      </c>
      <c r="F15" s="299">
        <f t="shared" ref="F15" si="12">F10/F14</f>
        <v>29253.542357552004</v>
      </c>
      <c r="G15" s="299">
        <f>G10/G14</f>
        <v>30327.809798270893</v>
      </c>
      <c r="H15" s="57">
        <f t="shared" ref="H15:I15" si="13">IFERROR(F15/E15-1,0)</f>
        <v>5.7282334783288258E-2</v>
      </c>
      <c r="I15" s="57">
        <f t="shared" si="13"/>
        <v>3.6722644648932823E-2</v>
      </c>
      <c r="J15" s="39">
        <f>J10/J14</f>
        <v>28845</v>
      </c>
      <c r="K15" s="39">
        <f t="shared" ref="K15:AS15" si="14">K10/K14</f>
        <v>27539.694656488551</v>
      </c>
      <c r="L15" s="39">
        <f t="shared" si="14"/>
        <v>27672.677595628415</v>
      </c>
      <c r="M15" s="39">
        <f t="shared" si="14"/>
        <v>27545.581395348836</v>
      </c>
      <c r="N15" s="39">
        <f t="shared" si="14"/>
        <v>28247.674418604653</v>
      </c>
      <c r="O15" s="39">
        <f t="shared" si="14"/>
        <v>28500.357142857141</v>
      </c>
      <c r="P15" s="39">
        <f t="shared" si="14"/>
        <v>27827.936507936509</v>
      </c>
      <c r="Q15" s="39">
        <f t="shared" si="14"/>
        <v>27827.936507936509</v>
      </c>
      <c r="R15" s="39">
        <f t="shared" si="14"/>
        <v>27356.307692307691</v>
      </c>
      <c r="S15" s="39">
        <f t="shared" si="14"/>
        <v>27356.307692307691</v>
      </c>
      <c r="T15" s="39">
        <f t="shared" si="14"/>
        <v>27131.21212121212</v>
      </c>
      <c r="U15" s="39">
        <f t="shared" si="14"/>
        <v>27131.21212121212</v>
      </c>
      <c r="V15" s="39">
        <f t="shared" si="14"/>
        <v>29426.873857404022</v>
      </c>
      <c r="W15" s="39">
        <f t="shared" si="14"/>
        <v>29426.873857404022</v>
      </c>
      <c r="X15" s="39">
        <f t="shared" si="14"/>
        <v>29426.873857404022</v>
      </c>
      <c r="Y15" s="39">
        <f t="shared" si="14"/>
        <v>29426.873857404022</v>
      </c>
      <c r="Z15" s="39">
        <f t="shared" si="14"/>
        <v>29426.873857404022</v>
      </c>
      <c r="AA15" s="39">
        <f t="shared" si="14"/>
        <v>29131.956912028727</v>
      </c>
      <c r="AB15" s="39">
        <f t="shared" si="14"/>
        <v>29131.956912028727</v>
      </c>
      <c r="AC15" s="39">
        <f t="shared" si="14"/>
        <v>29131.956912028727</v>
      </c>
      <c r="AD15" s="39">
        <f t="shared" si="14"/>
        <v>29131.956912028727</v>
      </c>
      <c r="AE15" s="39">
        <f t="shared" si="14"/>
        <v>29131.956912028727</v>
      </c>
      <c r="AF15" s="39">
        <f t="shared" si="14"/>
        <v>29131.956912028727</v>
      </c>
      <c r="AG15" s="39">
        <f t="shared" si="14"/>
        <v>29131.956912028727</v>
      </c>
      <c r="AH15" s="39">
        <f t="shared" si="14"/>
        <v>30327.809798270893</v>
      </c>
      <c r="AI15" s="39">
        <f t="shared" si="14"/>
        <v>30327.809798270893</v>
      </c>
      <c r="AJ15" s="39">
        <f t="shared" si="14"/>
        <v>30327.809798270893</v>
      </c>
      <c r="AK15" s="39">
        <f t="shared" si="14"/>
        <v>30327.809798270893</v>
      </c>
      <c r="AL15" s="39">
        <f t="shared" si="14"/>
        <v>30327.809798270893</v>
      </c>
      <c r="AM15" s="39">
        <f t="shared" si="14"/>
        <v>30327.809798270893</v>
      </c>
      <c r="AN15" s="39">
        <f t="shared" si="14"/>
        <v>30327.809798270893</v>
      </c>
      <c r="AO15" s="39">
        <f t="shared" si="14"/>
        <v>30327.809798270893</v>
      </c>
      <c r="AP15" s="39">
        <f t="shared" si="14"/>
        <v>30327.809798270893</v>
      </c>
      <c r="AQ15" s="39">
        <f t="shared" si="14"/>
        <v>30327.809798270893</v>
      </c>
      <c r="AR15" s="39">
        <f t="shared" si="14"/>
        <v>30327.809798270893</v>
      </c>
      <c r="AS15" s="39">
        <f t="shared" si="14"/>
        <v>30327.809798270893</v>
      </c>
      <c r="AT15" s="287"/>
      <c r="AU15" s="293"/>
      <c r="AV15" s="293"/>
      <c r="AW15" s="293"/>
    </row>
    <row r="16" spans="1:49" ht="17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287"/>
      <c r="AU16" s="293"/>
      <c r="AV16" s="293"/>
      <c r="AW16" s="293"/>
    </row>
    <row r="17" spans="1:49" ht="17.25" customHeight="1">
      <c r="A17" s="462"/>
      <c r="B17" s="294"/>
      <c r="C17" s="294"/>
      <c r="D17" s="294"/>
      <c r="E17" s="60"/>
      <c r="F17" s="60"/>
      <c r="G17" s="60"/>
      <c r="H17" s="300"/>
      <c r="I17" s="300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87"/>
      <c r="AU17" s="293"/>
      <c r="AV17" s="293"/>
      <c r="AW17" s="293"/>
    </row>
    <row r="18" spans="1:49" ht="24" customHeight="1">
      <c r="A18" s="469" t="s">
        <v>19</v>
      </c>
      <c r="B18" s="295"/>
      <c r="C18" s="295"/>
      <c r="D18" s="295"/>
      <c r="E18" s="301"/>
      <c r="F18" s="301"/>
      <c r="G18" s="301"/>
      <c r="H18" s="301"/>
      <c r="I18" s="301"/>
      <c r="J18" s="302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1"/>
      <c r="AT18" s="470"/>
      <c r="AU18" s="471"/>
      <c r="AV18" s="471"/>
      <c r="AW18" s="471"/>
    </row>
    <row r="19" spans="1:49" ht="17.25" customHeight="1" outlineLevel="1">
      <c r="A19" s="479" t="s">
        <v>27</v>
      </c>
      <c r="B19" s="334">
        <v>2</v>
      </c>
      <c r="C19" s="334">
        <v>3</v>
      </c>
      <c r="D19" s="334">
        <v>3</v>
      </c>
      <c r="E19" s="303"/>
      <c r="F19" s="303"/>
      <c r="G19" s="303"/>
      <c r="H19" s="304"/>
      <c r="I19" s="304"/>
      <c r="J19" s="305">
        <f>B19</f>
        <v>2</v>
      </c>
      <c r="K19" s="305">
        <f t="shared" ref="K19:Z21" si="15">J19</f>
        <v>2</v>
      </c>
      <c r="L19" s="305">
        <f t="shared" si="15"/>
        <v>2</v>
      </c>
      <c r="M19" s="305">
        <f>L19</f>
        <v>2</v>
      </c>
      <c r="N19" s="305">
        <f t="shared" si="15"/>
        <v>2</v>
      </c>
      <c r="O19" s="305">
        <f t="shared" si="15"/>
        <v>2</v>
      </c>
      <c r="P19" s="305">
        <f t="shared" si="15"/>
        <v>2</v>
      </c>
      <c r="Q19" s="305">
        <f t="shared" si="15"/>
        <v>2</v>
      </c>
      <c r="R19" s="305">
        <f t="shared" si="15"/>
        <v>2</v>
      </c>
      <c r="S19" s="305">
        <f t="shared" si="15"/>
        <v>2</v>
      </c>
      <c r="T19" s="305">
        <f t="shared" si="15"/>
        <v>2</v>
      </c>
      <c r="U19" s="305">
        <f t="shared" si="15"/>
        <v>2</v>
      </c>
      <c r="V19" s="305">
        <f>C19</f>
        <v>3</v>
      </c>
      <c r="W19" s="305">
        <f>V19</f>
        <v>3</v>
      </c>
      <c r="X19" s="305">
        <f t="shared" si="15"/>
        <v>3</v>
      </c>
      <c r="Y19" s="305">
        <f t="shared" si="15"/>
        <v>3</v>
      </c>
      <c r="Z19" s="305">
        <f t="shared" si="15"/>
        <v>3</v>
      </c>
      <c r="AA19" s="305">
        <f t="shared" ref="AA19:AP21" si="16">Z19</f>
        <v>3</v>
      </c>
      <c r="AB19" s="305">
        <f t="shared" si="16"/>
        <v>3</v>
      </c>
      <c r="AC19" s="305">
        <f t="shared" si="16"/>
        <v>3</v>
      </c>
      <c r="AD19" s="305">
        <f t="shared" si="16"/>
        <v>3</v>
      </c>
      <c r="AE19" s="305">
        <f t="shared" si="16"/>
        <v>3</v>
      </c>
      <c r="AF19" s="305">
        <f t="shared" si="16"/>
        <v>3</v>
      </c>
      <c r="AG19" s="305">
        <f t="shared" si="16"/>
        <v>3</v>
      </c>
      <c r="AH19" s="305">
        <f>D19</f>
        <v>3</v>
      </c>
      <c r="AI19" s="305">
        <f t="shared" si="16"/>
        <v>3</v>
      </c>
      <c r="AJ19" s="305">
        <f t="shared" si="16"/>
        <v>3</v>
      </c>
      <c r="AK19" s="305">
        <f t="shared" si="16"/>
        <v>3</v>
      </c>
      <c r="AL19" s="305">
        <f t="shared" si="16"/>
        <v>3</v>
      </c>
      <c r="AM19" s="305">
        <f t="shared" si="16"/>
        <v>3</v>
      </c>
      <c r="AN19" s="305">
        <f t="shared" si="16"/>
        <v>3</v>
      </c>
      <c r="AO19" s="305">
        <f t="shared" si="16"/>
        <v>3</v>
      </c>
      <c r="AP19" s="305">
        <f t="shared" si="16"/>
        <v>3</v>
      </c>
      <c r="AQ19" s="305">
        <f t="shared" ref="AP19:AS21" si="17">AP19</f>
        <v>3</v>
      </c>
      <c r="AR19" s="305">
        <f t="shared" si="17"/>
        <v>3</v>
      </c>
      <c r="AS19" s="305">
        <f>AR19</f>
        <v>3</v>
      </c>
      <c r="AT19" s="480"/>
      <c r="AU19" s="481"/>
      <c r="AV19" s="471"/>
      <c r="AW19" s="481"/>
    </row>
    <row r="20" spans="1:49" ht="17.25" customHeight="1" outlineLevel="1">
      <c r="A20" s="479" t="s">
        <v>20</v>
      </c>
      <c r="B20" s="334">
        <v>4</v>
      </c>
      <c r="C20" s="334">
        <v>4</v>
      </c>
      <c r="D20" s="334">
        <v>4</v>
      </c>
      <c r="E20" s="303"/>
      <c r="F20" s="303"/>
      <c r="G20" s="303"/>
      <c r="H20" s="304"/>
      <c r="I20" s="304"/>
      <c r="J20" s="305">
        <f>B20</f>
        <v>4</v>
      </c>
      <c r="K20" s="305">
        <f t="shared" si="15"/>
        <v>4</v>
      </c>
      <c r="L20" s="305">
        <f t="shared" si="15"/>
        <v>4</v>
      </c>
      <c r="M20" s="305">
        <f t="shared" si="15"/>
        <v>4</v>
      </c>
      <c r="N20" s="305">
        <f t="shared" si="15"/>
        <v>4</v>
      </c>
      <c r="O20" s="305">
        <f t="shared" si="15"/>
        <v>4</v>
      </c>
      <c r="P20" s="305">
        <f t="shared" si="15"/>
        <v>4</v>
      </c>
      <c r="Q20" s="305">
        <f t="shared" si="15"/>
        <v>4</v>
      </c>
      <c r="R20" s="305">
        <f t="shared" si="15"/>
        <v>4</v>
      </c>
      <c r="S20" s="305">
        <f t="shared" si="15"/>
        <v>4</v>
      </c>
      <c r="T20" s="305">
        <f t="shared" si="15"/>
        <v>4</v>
      </c>
      <c r="U20" s="305">
        <f t="shared" si="15"/>
        <v>4</v>
      </c>
      <c r="V20" s="305">
        <f>C20</f>
        <v>4</v>
      </c>
      <c r="W20" s="305">
        <f>V20</f>
        <v>4</v>
      </c>
      <c r="X20" s="305">
        <f t="shared" si="15"/>
        <v>4</v>
      </c>
      <c r="Y20" s="305">
        <f t="shared" si="15"/>
        <v>4</v>
      </c>
      <c r="Z20" s="305">
        <f t="shared" si="15"/>
        <v>4</v>
      </c>
      <c r="AA20" s="305">
        <f t="shared" si="16"/>
        <v>4</v>
      </c>
      <c r="AB20" s="305">
        <f t="shared" si="16"/>
        <v>4</v>
      </c>
      <c r="AC20" s="305">
        <f t="shared" si="16"/>
        <v>4</v>
      </c>
      <c r="AD20" s="305">
        <f t="shared" si="16"/>
        <v>4</v>
      </c>
      <c r="AE20" s="305">
        <f t="shared" si="16"/>
        <v>4</v>
      </c>
      <c r="AF20" s="305">
        <f t="shared" si="16"/>
        <v>4</v>
      </c>
      <c r="AG20" s="305">
        <f t="shared" si="16"/>
        <v>4</v>
      </c>
      <c r="AH20" s="305">
        <f>D20</f>
        <v>4</v>
      </c>
      <c r="AI20" s="305">
        <f t="shared" si="16"/>
        <v>4</v>
      </c>
      <c r="AJ20" s="305">
        <f t="shared" si="16"/>
        <v>4</v>
      </c>
      <c r="AK20" s="305">
        <f t="shared" si="16"/>
        <v>4</v>
      </c>
      <c r="AL20" s="305">
        <f t="shared" si="16"/>
        <v>4</v>
      </c>
      <c r="AM20" s="305">
        <f t="shared" si="16"/>
        <v>4</v>
      </c>
      <c r="AN20" s="305">
        <f t="shared" si="16"/>
        <v>4</v>
      </c>
      <c r="AO20" s="305">
        <f t="shared" si="16"/>
        <v>4</v>
      </c>
      <c r="AP20" s="305">
        <f t="shared" si="17"/>
        <v>4</v>
      </c>
      <c r="AQ20" s="305">
        <f t="shared" si="17"/>
        <v>4</v>
      </c>
      <c r="AR20" s="305">
        <f t="shared" si="17"/>
        <v>4</v>
      </c>
      <c r="AS20" s="305">
        <f t="shared" si="17"/>
        <v>4</v>
      </c>
      <c r="AT20" s="287"/>
      <c r="AU20" s="293"/>
      <c r="AV20" s="293"/>
      <c r="AW20" s="293"/>
    </row>
    <row r="21" spans="1:49" ht="17.25" customHeight="1" outlineLevel="1">
      <c r="A21" s="479" t="s">
        <v>28</v>
      </c>
      <c r="B21" s="334">
        <v>21</v>
      </c>
      <c r="C21" s="334">
        <v>21</v>
      </c>
      <c r="D21" s="334">
        <v>21</v>
      </c>
      <c r="E21" s="303"/>
      <c r="F21" s="303"/>
      <c r="G21" s="303"/>
      <c r="H21" s="304"/>
      <c r="I21" s="304"/>
      <c r="J21" s="305">
        <f>B21</f>
        <v>21</v>
      </c>
      <c r="K21" s="305">
        <f t="shared" si="15"/>
        <v>21</v>
      </c>
      <c r="L21" s="305">
        <f t="shared" si="15"/>
        <v>21</v>
      </c>
      <c r="M21" s="305">
        <f t="shared" si="15"/>
        <v>21</v>
      </c>
      <c r="N21" s="305">
        <f t="shared" si="15"/>
        <v>21</v>
      </c>
      <c r="O21" s="305">
        <f t="shared" si="15"/>
        <v>21</v>
      </c>
      <c r="P21" s="305">
        <f t="shared" si="15"/>
        <v>21</v>
      </c>
      <c r="Q21" s="305">
        <f t="shared" si="15"/>
        <v>21</v>
      </c>
      <c r="R21" s="305">
        <f t="shared" si="15"/>
        <v>21</v>
      </c>
      <c r="S21" s="305">
        <f t="shared" si="15"/>
        <v>21</v>
      </c>
      <c r="T21" s="305">
        <f t="shared" si="15"/>
        <v>21</v>
      </c>
      <c r="U21" s="305">
        <f t="shared" si="15"/>
        <v>21</v>
      </c>
      <c r="V21" s="305">
        <f>C21</f>
        <v>21</v>
      </c>
      <c r="W21" s="305">
        <f t="shared" si="15"/>
        <v>21</v>
      </c>
      <c r="X21" s="305">
        <f t="shared" si="15"/>
        <v>21</v>
      </c>
      <c r="Y21" s="305">
        <f t="shared" si="15"/>
        <v>21</v>
      </c>
      <c r="Z21" s="305">
        <f t="shared" si="15"/>
        <v>21</v>
      </c>
      <c r="AA21" s="305">
        <f t="shared" si="16"/>
        <v>21</v>
      </c>
      <c r="AB21" s="305">
        <f t="shared" si="16"/>
        <v>21</v>
      </c>
      <c r="AC21" s="305">
        <f t="shared" si="16"/>
        <v>21</v>
      </c>
      <c r="AD21" s="305">
        <f t="shared" si="16"/>
        <v>21</v>
      </c>
      <c r="AE21" s="305">
        <f t="shared" si="16"/>
        <v>21</v>
      </c>
      <c r="AF21" s="305">
        <f t="shared" si="16"/>
        <v>21</v>
      </c>
      <c r="AG21" s="305">
        <f t="shared" si="16"/>
        <v>21</v>
      </c>
      <c r="AH21" s="305">
        <f>D21</f>
        <v>21</v>
      </c>
      <c r="AI21" s="305">
        <f t="shared" si="16"/>
        <v>21</v>
      </c>
      <c r="AJ21" s="305">
        <f t="shared" si="16"/>
        <v>21</v>
      </c>
      <c r="AK21" s="305">
        <f t="shared" si="16"/>
        <v>21</v>
      </c>
      <c r="AL21" s="305">
        <f t="shared" si="16"/>
        <v>21</v>
      </c>
      <c r="AM21" s="305">
        <f t="shared" si="16"/>
        <v>21</v>
      </c>
      <c r="AN21" s="305">
        <f t="shared" si="16"/>
        <v>21</v>
      </c>
      <c r="AO21" s="305">
        <f t="shared" si="16"/>
        <v>21</v>
      </c>
      <c r="AP21" s="305">
        <f t="shared" si="17"/>
        <v>21</v>
      </c>
      <c r="AQ21" s="305">
        <f t="shared" si="17"/>
        <v>21</v>
      </c>
      <c r="AR21" s="305">
        <f t="shared" si="17"/>
        <v>21</v>
      </c>
      <c r="AS21" s="305">
        <f t="shared" si="17"/>
        <v>21</v>
      </c>
      <c r="AT21" s="287"/>
      <c r="AU21" s="293"/>
      <c r="AV21" s="293"/>
      <c r="AW21" s="293"/>
    </row>
    <row r="22" spans="1:49" ht="17.25" customHeight="1" outlineLevel="1">
      <c r="A22" s="479" t="s">
        <v>158</v>
      </c>
      <c r="B22" s="334">
        <v>10</v>
      </c>
      <c r="C22" s="334">
        <v>10</v>
      </c>
      <c r="D22" s="334">
        <v>10</v>
      </c>
      <c r="E22" s="303"/>
      <c r="F22" s="303"/>
      <c r="G22" s="303"/>
      <c r="H22" s="304"/>
      <c r="I22" s="304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287"/>
      <c r="AU22" s="293"/>
      <c r="AV22" s="293"/>
      <c r="AW22" s="293"/>
    </row>
    <row r="23" spans="1:49" ht="17.25" customHeight="1" outlineLevel="1">
      <c r="A23" s="479" t="s">
        <v>159</v>
      </c>
      <c r="B23" s="285">
        <f>B19*B22*60</f>
        <v>1200</v>
      </c>
      <c r="C23" s="285">
        <f>C19*C22*60</f>
        <v>1800</v>
      </c>
      <c r="D23" s="285">
        <f>D19*D22*60</f>
        <v>1800</v>
      </c>
      <c r="E23" s="306">
        <f>SUM(J23:U23)</f>
        <v>11520</v>
      </c>
      <c r="F23" s="306">
        <f>SUM(V23:AG23)</f>
        <v>17280</v>
      </c>
      <c r="G23" s="306">
        <f>SUM(AH23:AS23)</f>
        <v>17280</v>
      </c>
      <c r="H23" s="307"/>
      <c r="I23" s="307"/>
      <c r="J23" s="305">
        <f>J19*8*60</f>
        <v>960</v>
      </c>
      <c r="K23" s="305">
        <f t="shared" ref="K23:AO23" si="18">K19*8*60</f>
        <v>960</v>
      </c>
      <c r="L23" s="305">
        <f>L19*8*60</f>
        <v>960</v>
      </c>
      <c r="M23" s="305">
        <f t="shared" si="18"/>
        <v>960</v>
      </c>
      <c r="N23" s="305">
        <f t="shared" si="18"/>
        <v>960</v>
      </c>
      <c r="O23" s="305">
        <f t="shared" si="18"/>
        <v>960</v>
      </c>
      <c r="P23" s="305">
        <f t="shared" si="18"/>
        <v>960</v>
      </c>
      <c r="Q23" s="305">
        <f t="shared" si="18"/>
        <v>960</v>
      </c>
      <c r="R23" s="305">
        <f t="shared" si="18"/>
        <v>960</v>
      </c>
      <c r="S23" s="305">
        <f t="shared" si="18"/>
        <v>960</v>
      </c>
      <c r="T23" s="305">
        <f t="shared" si="18"/>
        <v>960</v>
      </c>
      <c r="U23" s="305">
        <f t="shared" si="18"/>
        <v>960</v>
      </c>
      <c r="V23" s="305">
        <f t="shared" si="18"/>
        <v>1440</v>
      </c>
      <c r="W23" s="305">
        <f t="shared" si="18"/>
        <v>1440</v>
      </c>
      <c r="X23" s="305">
        <f t="shared" si="18"/>
        <v>1440</v>
      </c>
      <c r="Y23" s="305">
        <f t="shared" si="18"/>
        <v>1440</v>
      </c>
      <c r="Z23" s="305">
        <f t="shared" si="18"/>
        <v>1440</v>
      </c>
      <c r="AA23" s="305">
        <f t="shared" si="18"/>
        <v>1440</v>
      </c>
      <c r="AB23" s="305">
        <f>AB19*8*60</f>
        <v>1440</v>
      </c>
      <c r="AC23" s="305">
        <f t="shared" si="18"/>
        <v>1440</v>
      </c>
      <c r="AD23" s="305">
        <f t="shared" si="18"/>
        <v>1440</v>
      </c>
      <c r="AE23" s="305">
        <f t="shared" si="18"/>
        <v>1440</v>
      </c>
      <c r="AF23" s="305">
        <f t="shared" si="18"/>
        <v>1440</v>
      </c>
      <c r="AG23" s="305">
        <f>AG19*8*60</f>
        <v>1440</v>
      </c>
      <c r="AH23" s="305">
        <f t="shared" si="18"/>
        <v>1440</v>
      </c>
      <c r="AI23" s="305">
        <f t="shared" si="18"/>
        <v>1440</v>
      </c>
      <c r="AJ23" s="305">
        <f t="shared" si="18"/>
        <v>1440</v>
      </c>
      <c r="AK23" s="305">
        <f t="shared" si="18"/>
        <v>1440</v>
      </c>
      <c r="AL23" s="305">
        <f t="shared" si="18"/>
        <v>1440</v>
      </c>
      <c r="AM23" s="305">
        <f t="shared" si="18"/>
        <v>1440</v>
      </c>
      <c r="AN23" s="305">
        <f t="shared" si="18"/>
        <v>1440</v>
      </c>
      <c r="AO23" s="305">
        <f t="shared" si="18"/>
        <v>1440</v>
      </c>
      <c r="AP23" s="305">
        <f>AP19*8*60</f>
        <v>1440</v>
      </c>
      <c r="AQ23" s="305">
        <f>AQ19*8*60</f>
        <v>1440</v>
      </c>
      <c r="AR23" s="305">
        <f>AR19*8*60</f>
        <v>1440</v>
      </c>
      <c r="AS23" s="305">
        <f>AS19*8*60</f>
        <v>1440</v>
      </c>
      <c r="AT23" s="287"/>
      <c r="AU23" s="293"/>
      <c r="AV23" s="293"/>
      <c r="AW23" s="293"/>
    </row>
    <row r="24" spans="1:49" ht="30" customHeight="1" outlineLevel="1">
      <c r="A24" s="479" t="s">
        <v>160</v>
      </c>
      <c r="B24" s="285">
        <f>B23*90%</f>
        <v>1080</v>
      </c>
      <c r="C24" s="285">
        <f>C23*90%</f>
        <v>1620</v>
      </c>
      <c r="D24" s="285">
        <f t="shared" ref="D24" si="19">D23*90%</f>
        <v>1620</v>
      </c>
      <c r="E24" s="306">
        <f>SUM(J24:U24)</f>
        <v>10368</v>
      </c>
      <c r="F24" s="306">
        <f>SUM(V24:AG24)</f>
        <v>15876</v>
      </c>
      <c r="G24" s="306">
        <f>SUM(AH24:AS24)</f>
        <v>15552</v>
      </c>
      <c r="H24" s="307"/>
      <c r="I24" s="307"/>
      <c r="J24" s="305">
        <f>J23*90%</f>
        <v>864</v>
      </c>
      <c r="K24" s="305">
        <f>K23*90%</f>
        <v>864</v>
      </c>
      <c r="L24" s="305">
        <f>L23*90%</f>
        <v>864</v>
      </c>
      <c r="M24" s="305">
        <f>M23*90%</f>
        <v>864</v>
      </c>
      <c r="N24" s="305">
        <f t="shared" ref="N24:AO24" si="20">N23*90%</f>
        <v>864</v>
      </c>
      <c r="O24" s="305">
        <f t="shared" si="20"/>
        <v>864</v>
      </c>
      <c r="P24" s="305">
        <f t="shared" si="20"/>
        <v>864</v>
      </c>
      <c r="Q24" s="305">
        <f t="shared" si="20"/>
        <v>864</v>
      </c>
      <c r="R24" s="305">
        <f t="shared" si="20"/>
        <v>864</v>
      </c>
      <c r="S24" s="305">
        <f t="shared" si="20"/>
        <v>864</v>
      </c>
      <c r="T24" s="305">
        <f t="shared" si="20"/>
        <v>864</v>
      </c>
      <c r="U24" s="305">
        <f>U23*90%</f>
        <v>864</v>
      </c>
      <c r="V24" s="305">
        <f t="shared" ref="V24:V25" si="21">C24</f>
        <v>1620</v>
      </c>
      <c r="W24" s="305">
        <f>W23*90%</f>
        <v>1296</v>
      </c>
      <c r="X24" s="305">
        <f t="shared" si="20"/>
        <v>1296</v>
      </c>
      <c r="Y24" s="305">
        <f t="shared" si="20"/>
        <v>1296</v>
      </c>
      <c r="Z24" s="305">
        <f t="shared" si="20"/>
        <v>1296</v>
      </c>
      <c r="AA24" s="305">
        <f t="shared" si="20"/>
        <v>1296</v>
      </c>
      <c r="AB24" s="305">
        <f t="shared" si="20"/>
        <v>1296</v>
      </c>
      <c r="AC24" s="305">
        <f t="shared" si="20"/>
        <v>1296</v>
      </c>
      <c r="AD24" s="305">
        <f t="shared" si="20"/>
        <v>1296</v>
      </c>
      <c r="AE24" s="305">
        <f t="shared" si="20"/>
        <v>1296</v>
      </c>
      <c r="AF24" s="305">
        <f t="shared" si="20"/>
        <v>1296</v>
      </c>
      <c r="AG24" s="305">
        <f>AG23*90%</f>
        <v>1296</v>
      </c>
      <c r="AH24" s="305">
        <f t="shared" si="20"/>
        <v>1296</v>
      </c>
      <c r="AI24" s="305">
        <f t="shared" si="20"/>
        <v>1296</v>
      </c>
      <c r="AJ24" s="305">
        <f t="shared" si="20"/>
        <v>1296</v>
      </c>
      <c r="AK24" s="305">
        <f t="shared" si="20"/>
        <v>1296</v>
      </c>
      <c r="AL24" s="305">
        <f t="shared" si="20"/>
        <v>1296</v>
      </c>
      <c r="AM24" s="305">
        <f t="shared" si="20"/>
        <v>1296</v>
      </c>
      <c r="AN24" s="305">
        <f t="shared" si="20"/>
        <v>1296</v>
      </c>
      <c r="AO24" s="305">
        <f t="shared" si="20"/>
        <v>1296</v>
      </c>
      <c r="AP24" s="305">
        <f>AP23*90%</f>
        <v>1296</v>
      </c>
      <c r="AQ24" s="305">
        <f>AQ23*90%</f>
        <v>1296</v>
      </c>
      <c r="AR24" s="305">
        <f>AR23*90%</f>
        <v>1296</v>
      </c>
      <c r="AS24" s="305">
        <f>AS23*90%</f>
        <v>1296</v>
      </c>
      <c r="AT24" s="287"/>
      <c r="AU24" s="293"/>
      <c r="AV24" s="293"/>
      <c r="AW24" s="293"/>
    </row>
    <row r="25" spans="1:49" ht="17.25" customHeight="1" outlineLevel="1">
      <c r="A25" s="479" t="s">
        <v>21</v>
      </c>
      <c r="B25" s="284">
        <v>30</v>
      </c>
      <c r="C25" s="284">
        <f>B25</f>
        <v>30</v>
      </c>
      <c r="D25" s="284">
        <f>C25</f>
        <v>30</v>
      </c>
      <c r="E25" s="306">
        <v>30</v>
      </c>
      <c r="F25" s="306">
        <v>30</v>
      </c>
      <c r="G25" s="306">
        <v>30</v>
      </c>
      <c r="H25" s="307"/>
      <c r="I25" s="307"/>
      <c r="J25" s="305">
        <f>B25</f>
        <v>30</v>
      </c>
      <c r="K25" s="305">
        <f>J25</f>
        <v>30</v>
      </c>
      <c r="L25" s="305">
        <f t="shared" ref="L25:AS25" si="22">K25</f>
        <v>30</v>
      </c>
      <c r="M25" s="305">
        <f t="shared" si="22"/>
        <v>30</v>
      </c>
      <c r="N25" s="305">
        <f t="shared" si="22"/>
        <v>30</v>
      </c>
      <c r="O25" s="305">
        <f t="shared" si="22"/>
        <v>30</v>
      </c>
      <c r="P25" s="305">
        <f t="shared" si="22"/>
        <v>30</v>
      </c>
      <c r="Q25" s="305">
        <f t="shared" si="22"/>
        <v>30</v>
      </c>
      <c r="R25" s="305">
        <f t="shared" si="22"/>
        <v>30</v>
      </c>
      <c r="S25" s="305">
        <f t="shared" si="22"/>
        <v>30</v>
      </c>
      <c r="T25" s="305">
        <f t="shared" si="22"/>
        <v>30</v>
      </c>
      <c r="U25" s="305">
        <f t="shared" si="22"/>
        <v>30</v>
      </c>
      <c r="V25" s="305">
        <f t="shared" si="21"/>
        <v>30</v>
      </c>
      <c r="W25" s="305">
        <f t="shared" si="22"/>
        <v>30</v>
      </c>
      <c r="X25" s="305">
        <f t="shared" si="22"/>
        <v>30</v>
      </c>
      <c r="Y25" s="305">
        <f t="shared" si="22"/>
        <v>30</v>
      </c>
      <c r="Z25" s="305">
        <f t="shared" si="22"/>
        <v>30</v>
      </c>
      <c r="AA25" s="305">
        <f t="shared" si="22"/>
        <v>30</v>
      </c>
      <c r="AB25" s="305">
        <f t="shared" si="22"/>
        <v>30</v>
      </c>
      <c r="AC25" s="305">
        <f t="shared" si="22"/>
        <v>30</v>
      </c>
      <c r="AD25" s="305">
        <f t="shared" si="22"/>
        <v>30</v>
      </c>
      <c r="AE25" s="305">
        <f t="shared" si="22"/>
        <v>30</v>
      </c>
      <c r="AF25" s="305">
        <f t="shared" si="22"/>
        <v>30</v>
      </c>
      <c r="AG25" s="305">
        <f t="shared" si="22"/>
        <v>30</v>
      </c>
      <c r="AH25" s="305">
        <f t="shared" si="22"/>
        <v>30</v>
      </c>
      <c r="AI25" s="305">
        <f t="shared" si="22"/>
        <v>30</v>
      </c>
      <c r="AJ25" s="305">
        <f t="shared" si="22"/>
        <v>30</v>
      </c>
      <c r="AK25" s="305">
        <f t="shared" si="22"/>
        <v>30</v>
      </c>
      <c r="AL25" s="305">
        <f t="shared" si="22"/>
        <v>30</v>
      </c>
      <c r="AM25" s="305">
        <f t="shared" si="22"/>
        <v>30</v>
      </c>
      <c r="AN25" s="305">
        <f t="shared" si="22"/>
        <v>30</v>
      </c>
      <c r="AO25" s="305">
        <f t="shared" si="22"/>
        <v>30</v>
      </c>
      <c r="AP25" s="305">
        <f t="shared" si="22"/>
        <v>30</v>
      </c>
      <c r="AQ25" s="305">
        <f t="shared" si="22"/>
        <v>30</v>
      </c>
      <c r="AR25" s="305">
        <f t="shared" si="22"/>
        <v>30</v>
      </c>
      <c r="AS25" s="305">
        <f t="shared" si="22"/>
        <v>30</v>
      </c>
      <c r="AT25" s="287"/>
      <c r="AU25" s="293"/>
      <c r="AV25" s="293"/>
      <c r="AW25" s="293"/>
    </row>
    <row r="26" spans="1:49" s="486" customFormat="1" ht="17.25" customHeight="1">
      <c r="A26" s="482" t="s">
        <v>29</v>
      </c>
      <c r="B26" s="286"/>
      <c r="C26" s="286"/>
      <c r="D26" s="286"/>
      <c r="E26" s="40">
        <f>AVERAGEIF($J$7:$AS$7,$E$7,$J26:$AS26)</f>
        <v>0.48749999999999988</v>
      </c>
      <c r="F26" s="40">
        <f>AVERAGEIF($J$7:$AS$7,$F$7,$J26:$AS26)</f>
        <v>0.65000000000000013</v>
      </c>
      <c r="G26" s="40">
        <f>AVERAGEIF($J$7:$AS$7,$G$7,$J26:$AS26)</f>
        <v>0.70000000000000007</v>
      </c>
      <c r="H26" s="40"/>
      <c r="I26" s="40"/>
      <c r="J26" s="483">
        <v>0.2</v>
      </c>
      <c r="K26" s="484">
        <v>0.25</v>
      </c>
      <c r="L26" s="484">
        <v>0.35</v>
      </c>
      <c r="M26" s="484">
        <v>0.4</v>
      </c>
      <c r="N26" s="484">
        <v>0.5</v>
      </c>
      <c r="O26" s="484">
        <v>0.55000000000000004</v>
      </c>
      <c r="P26" s="484">
        <v>0.6</v>
      </c>
      <c r="Q26" s="484">
        <v>0.6</v>
      </c>
      <c r="R26" s="484">
        <v>0.6</v>
      </c>
      <c r="S26" s="484">
        <v>0.6</v>
      </c>
      <c r="T26" s="484">
        <v>0.6</v>
      </c>
      <c r="U26" s="484">
        <v>0.6</v>
      </c>
      <c r="V26" s="484">
        <v>0.65</v>
      </c>
      <c r="W26" s="484">
        <v>0.65</v>
      </c>
      <c r="X26" s="484">
        <v>0.65</v>
      </c>
      <c r="Y26" s="484">
        <v>0.65</v>
      </c>
      <c r="Z26" s="484">
        <v>0.65</v>
      </c>
      <c r="AA26" s="484">
        <v>0.65</v>
      </c>
      <c r="AB26" s="484">
        <v>0.65</v>
      </c>
      <c r="AC26" s="484">
        <v>0.65</v>
      </c>
      <c r="AD26" s="484">
        <v>0.65</v>
      </c>
      <c r="AE26" s="484">
        <v>0.65</v>
      </c>
      <c r="AF26" s="484">
        <v>0.65</v>
      </c>
      <c r="AG26" s="484">
        <v>0.65</v>
      </c>
      <c r="AH26" s="483">
        <v>0.7</v>
      </c>
      <c r="AI26" s="483">
        <v>0.7</v>
      </c>
      <c r="AJ26" s="483">
        <v>0.7</v>
      </c>
      <c r="AK26" s="483">
        <v>0.7</v>
      </c>
      <c r="AL26" s="483">
        <v>0.7</v>
      </c>
      <c r="AM26" s="483">
        <v>0.7</v>
      </c>
      <c r="AN26" s="483">
        <v>0.7</v>
      </c>
      <c r="AO26" s="483">
        <v>0.7</v>
      </c>
      <c r="AP26" s="483">
        <v>0.7</v>
      </c>
      <c r="AQ26" s="483">
        <v>0.7</v>
      </c>
      <c r="AR26" s="483">
        <v>0.7</v>
      </c>
      <c r="AS26" s="483">
        <v>0.7</v>
      </c>
      <c r="AT26" s="485"/>
    </row>
    <row r="27" spans="1:49" ht="17.25" customHeight="1">
      <c r="A27" s="479" t="s">
        <v>22</v>
      </c>
      <c r="B27" s="285">
        <f>B24/B25</f>
        <v>36</v>
      </c>
      <c r="C27" s="285">
        <f t="shared" ref="C27" si="23">C24/C25</f>
        <v>54</v>
      </c>
      <c r="D27" s="285">
        <f>D24/D25</f>
        <v>54</v>
      </c>
      <c r="E27" s="308">
        <f>IFERROR(E24/E25*E26/12,0)</f>
        <v>14.039999999999997</v>
      </c>
      <c r="F27" s="308">
        <f t="shared" ref="F27:G27" si="24">IFERROR(F24/F25*F26/12,0)</f>
        <v>28.665000000000006</v>
      </c>
      <c r="G27" s="308">
        <f t="shared" si="24"/>
        <v>30.24</v>
      </c>
      <c r="H27" s="307"/>
      <c r="I27" s="307"/>
      <c r="J27" s="309">
        <f>$B$24/$B$25*J26</f>
        <v>7.2</v>
      </c>
      <c r="K27" s="309">
        <f t="shared" ref="K27:S27" si="25">$B$24/$B$25*K26</f>
        <v>9</v>
      </c>
      <c r="L27" s="309">
        <f t="shared" si="25"/>
        <v>12.6</v>
      </c>
      <c r="M27" s="309">
        <f t="shared" si="25"/>
        <v>14.4</v>
      </c>
      <c r="N27" s="309">
        <f>$B$24/$B$25*N26</f>
        <v>18</v>
      </c>
      <c r="O27" s="309">
        <f>$B$24/$B$25*O26</f>
        <v>19.8</v>
      </c>
      <c r="P27" s="309">
        <f t="shared" si="25"/>
        <v>21.599999999999998</v>
      </c>
      <c r="Q27" s="309">
        <f t="shared" si="25"/>
        <v>21.599999999999998</v>
      </c>
      <c r="R27" s="309">
        <f t="shared" si="25"/>
        <v>21.599999999999998</v>
      </c>
      <c r="S27" s="309">
        <f t="shared" si="25"/>
        <v>21.599999999999998</v>
      </c>
      <c r="T27" s="309">
        <f>$B$24/$B$25*T26</f>
        <v>21.599999999999998</v>
      </c>
      <c r="U27" s="309">
        <f>$B$24/$B$25*U26</f>
        <v>21.599999999999998</v>
      </c>
      <c r="V27" s="309">
        <f>$C$24/$C$25*V26</f>
        <v>35.1</v>
      </c>
      <c r="W27" s="309">
        <f t="shared" ref="W27:AG27" si="26">$C$24/$C$25*W26</f>
        <v>35.1</v>
      </c>
      <c r="X27" s="309">
        <f t="shared" si="26"/>
        <v>35.1</v>
      </c>
      <c r="Y27" s="309">
        <f t="shared" si="26"/>
        <v>35.1</v>
      </c>
      <c r="Z27" s="309">
        <f t="shared" si="26"/>
        <v>35.1</v>
      </c>
      <c r="AA27" s="309">
        <f t="shared" si="26"/>
        <v>35.1</v>
      </c>
      <c r="AB27" s="309">
        <f t="shared" si="26"/>
        <v>35.1</v>
      </c>
      <c r="AC27" s="309">
        <f t="shared" si="26"/>
        <v>35.1</v>
      </c>
      <c r="AD27" s="309">
        <f t="shared" si="26"/>
        <v>35.1</v>
      </c>
      <c r="AE27" s="309">
        <f t="shared" si="26"/>
        <v>35.1</v>
      </c>
      <c r="AF27" s="309">
        <f t="shared" si="26"/>
        <v>35.1</v>
      </c>
      <c r="AG27" s="309">
        <f t="shared" si="26"/>
        <v>35.1</v>
      </c>
      <c r="AH27" s="309">
        <f>$D$24/$D$25*AH26</f>
        <v>37.799999999999997</v>
      </c>
      <c r="AI27" s="309">
        <f t="shared" ref="AI27:AR27" si="27">$D$24/$D$25*AI26</f>
        <v>37.799999999999997</v>
      </c>
      <c r="AJ27" s="309">
        <f t="shared" si="27"/>
        <v>37.799999999999997</v>
      </c>
      <c r="AK27" s="309">
        <f t="shared" si="27"/>
        <v>37.799999999999997</v>
      </c>
      <c r="AL27" s="309">
        <f t="shared" si="27"/>
        <v>37.799999999999997</v>
      </c>
      <c r="AM27" s="309">
        <f t="shared" si="27"/>
        <v>37.799999999999997</v>
      </c>
      <c r="AN27" s="309">
        <f t="shared" si="27"/>
        <v>37.799999999999997</v>
      </c>
      <c r="AO27" s="309">
        <f t="shared" si="27"/>
        <v>37.799999999999997</v>
      </c>
      <c r="AP27" s="309">
        <f t="shared" si="27"/>
        <v>37.799999999999997</v>
      </c>
      <c r="AQ27" s="309">
        <f t="shared" si="27"/>
        <v>37.799999999999997</v>
      </c>
      <c r="AR27" s="309">
        <f t="shared" si="27"/>
        <v>37.799999999999997</v>
      </c>
      <c r="AS27" s="309">
        <f>$D$24/$D$25*AS26</f>
        <v>37.799999999999997</v>
      </c>
      <c r="AT27" s="287"/>
      <c r="AU27" s="293"/>
      <c r="AV27" s="293"/>
      <c r="AW27" s="293"/>
    </row>
    <row r="28" spans="1:49" ht="17.25" customHeight="1">
      <c r="A28" s="462" t="s">
        <v>23</v>
      </c>
      <c r="B28" s="285">
        <f>B27*B21</f>
        <v>756</v>
      </c>
      <c r="C28" s="285">
        <f t="shared" ref="C28:D28" si="28">C27*C21</f>
        <v>1134</v>
      </c>
      <c r="D28" s="285">
        <f t="shared" si="28"/>
        <v>1134</v>
      </c>
      <c r="E28" s="310">
        <f>SUMIF($J$7:$AS$7,$E$7,$J28:$AS28)</f>
        <v>4422.5999999999995</v>
      </c>
      <c r="F28" s="310">
        <f>SUMIF($J$7:$AS$7,$F$7,$J28:$AS28)</f>
        <v>8845.2000000000025</v>
      </c>
      <c r="G28" s="310">
        <f>SUMIF($J$7:$AS$7,$G$7,$J28:$AS28)</f>
        <v>9525.6</v>
      </c>
      <c r="H28" s="41">
        <f>IFERROR(F28/E28-1,0)</f>
        <v>1.0000000000000009</v>
      </c>
      <c r="I28" s="41">
        <f>IFERROR(G28/F28-1,0)</f>
        <v>7.692307692307665E-2</v>
      </c>
      <c r="J28" s="311">
        <f>J27*$B$21</f>
        <v>151.20000000000002</v>
      </c>
      <c r="K28" s="311">
        <f>K27*$C$21</f>
        <v>189</v>
      </c>
      <c r="L28" s="311">
        <f t="shared" ref="L28:U28" si="29">L27*$C$21</f>
        <v>264.59999999999997</v>
      </c>
      <c r="M28" s="311">
        <f t="shared" si="29"/>
        <v>302.40000000000003</v>
      </c>
      <c r="N28" s="311">
        <f t="shared" si="29"/>
        <v>378</v>
      </c>
      <c r="O28" s="311">
        <f t="shared" si="29"/>
        <v>415.8</v>
      </c>
      <c r="P28" s="311">
        <f t="shared" si="29"/>
        <v>453.59999999999997</v>
      </c>
      <c r="Q28" s="311">
        <f t="shared" si="29"/>
        <v>453.59999999999997</v>
      </c>
      <c r="R28" s="311">
        <f t="shared" si="29"/>
        <v>453.59999999999997</v>
      </c>
      <c r="S28" s="311">
        <f t="shared" si="29"/>
        <v>453.59999999999997</v>
      </c>
      <c r="T28" s="311">
        <f t="shared" si="29"/>
        <v>453.59999999999997</v>
      </c>
      <c r="U28" s="311">
        <f t="shared" si="29"/>
        <v>453.59999999999997</v>
      </c>
      <c r="V28" s="311">
        <f>V27*$C$21</f>
        <v>737.1</v>
      </c>
      <c r="W28" s="311">
        <f t="shared" ref="W28:AF28" si="30">W27*$C$21</f>
        <v>737.1</v>
      </c>
      <c r="X28" s="311">
        <f t="shared" si="30"/>
        <v>737.1</v>
      </c>
      <c r="Y28" s="311">
        <f t="shared" si="30"/>
        <v>737.1</v>
      </c>
      <c r="Z28" s="311">
        <f t="shared" si="30"/>
        <v>737.1</v>
      </c>
      <c r="AA28" s="311">
        <f t="shared" si="30"/>
        <v>737.1</v>
      </c>
      <c r="AB28" s="311">
        <f t="shared" si="30"/>
        <v>737.1</v>
      </c>
      <c r="AC28" s="311">
        <f t="shared" si="30"/>
        <v>737.1</v>
      </c>
      <c r="AD28" s="311">
        <f t="shared" si="30"/>
        <v>737.1</v>
      </c>
      <c r="AE28" s="311">
        <f t="shared" si="30"/>
        <v>737.1</v>
      </c>
      <c r="AF28" s="311">
        <f t="shared" si="30"/>
        <v>737.1</v>
      </c>
      <c r="AG28" s="311">
        <f>AG27*$C$21</f>
        <v>737.1</v>
      </c>
      <c r="AH28" s="311">
        <f>AH27*$D$21</f>
        <v>793.8</v>
      </c>
      <c r="AI28" s="311">
        <f t="shared" ref="AI28:AR28" si="31">AI27*$D$21</f>
        <v>793.8</v>
      </c>
      <c r="AJ28" s="311">
        <f t="shared" si="31"/>
        <v>793.8</v>
      </c>
      <c r="AK28" s="311">
        <f t="shared" si="31"/>
        <v>793.8</v>
      </c>
      <c r="AL28" s="311">
        <f t="shared" si="31"/>
        <v>793.8</v>
      </c>
      <c r="AM28" s="311">
        <f t="shared" si="31"/>
        <v>793.8</v>
      </c>
      <c r="AN28" s="311">
        <f t="shared" si="31"/>
        <v>793.8</v>
      </c>
      <c r="AO28" s="311">
        <f t="shared" si="31"/>
        <v>793.8</v>
      </c>
      <c r="AP28" s="311">
        <f t="shared" si="31"/>
        <v>793.8</v>
      </c>
      <c r="AQ28" s="311">
        <f t="shared" si="31"/>
        <v>793.8</v>
      </c>
      <c r="AR28" s="311">
        <f t="shared" si="31"/>
        <v>793.8</v>
      </c>
      <c r="AS28" s="311">
        <f>AS27*$D$21</f>
        <v>793.8</v>
      </c>
      <c r="AT28" s="287"/>
      <c r="AU28" s="293"/>
      <c r="AV28" s="293"/>
      <c r="AW28" s="293"/>
    </row>
    <row r="29" spans="1:49" s="490" customFormat="1" ht="17.25" customHeight="1">
      <c r="A29" s="487" t="s">
        <v>161</v>
      </c>
      <c r="B29" s="488">
        <v>0.6</v>
      </c>
      <c r="C29" s="488">
        <v>0.6</v>
      </c>
      <c r="D29" s="488">
        <v>0.6</v>
      </c>
      <c r="E29" s="308">
        <f t="shared" ref="E29:E31" si="32">SUMIF($J$7:$AS$7,$E$7,$J29:$AS29)</f>
        <v>2653.5599999999995</v>
      </c>
      <c r="F29" s="308">
        <f t="shared" ref="F29:F31" si="33">SUMIF($J$7:$AS$7,$F$7,$J29:$AS29)</f>
        <v>5307.1200000000017</v>
      </c>
      <c r="G29" s="308">
        <f t="shared" ref="G29:G31" si="34">SUMIF($J$7:$AS$7,$G$7,$J29:$AS29)</f>
        <v>5715.3599999999979</v>
      </c>
      <c r="H29" s="43">
        <f t="shared" ref="H29:I31" si="35">IFERROR(F29/E29-1,0)</f>
        <v>1.0000000000000009</v>
      </c>
      <c r="I29" s="43">
        <f t="shared" si="35"/>
        <v>7.6923076923076206E-2</v>
      </c>
      <c r="J29" s="309">
        <f>J28*$B$29</f>
        <v>90.720000000000013</v>
      </c>
      <c r="K29" s="309">
        <f t="shared" ref="K29:U29" si="36">K28*$B$29</f>
        <v>113.39999999999999</v>
      </c>
      <c r="L29" s="309">
        <f t="shared" si="36"/>
        <v>158.75999999999996</v>
      </c>
      <c r="M29" s="309">
        <f t="shared" si="36"/>
        <v>181.44000000000003</v>
      </c>
      <c r="N29" s="309">
        <f t="shared" si="36"/>
        <v>226.79999999999998</v>
      </c>
      <c r="O29" s="309">
        <f>O28*$B$29</f>
        <v>249.48</v>
      </c>
      <c r="P29" s="309">
        <f t="shared" si="36"/>
        <v>272.15999999999997</v>
      </c>
      <c r="Q29" s="309">
        <f t="shared" si="36"/>
        <v>272.15999999999997</v>
      </c>
      <c r="R29" s="309">
        <f t="shared" si="36"/>
        <v>272.15999999999997</v>
      </c>
      <c r="S29" s="309">
        <f t="shared" si="36"/>
        <v>272.15999999999997</v>
      </c>
      <c r="T29" s="309">
        <f t="shared" si="36"/>
        <v>272.15999999999997</v>
      </c>
      <c r="U29" s="309">
        <f t="shared" si="36"/>
        <v>272.15999999999997</v>
      </c>
      <c r="V29" s="309">
        <f>V28*$C$29</f>
        <v>442.26</v>
      </c>
      <c r="W29" s="309">
        <f t="shared" ref="W29:AF29" si="37">W28*$C$29</f>
        <v>442.26</v>
      </c>
      <c r="X29" s="309">
        <f t="shared" si="37"/>
        <v>442.26</v>
      </c>
      <c r="Y29" s="309">
        <f t="shared" si="37"/>
        <v>442.26</v>
      </c>
      <c r="Z29" s="309">
        <f t="shared" si="37"/>
        <v>442.26</v>
      </c>
      <c r="AA29" s="309">
        <f t="shared" si="37"/>
        <v>442.26</v>
      </c>
      <c r="AB29" s="309">
        <f t="shared" si="37"/>
        <v>442.26</v>
      </c>
      <c r="AC29" s="309">
        <f t="shared" si="37"/>
        <v>442.26</v>
      </c>
      <c r="AD29" s="309">
        <f t="shared" si="37"/>
        <v>442.26</v>
      </c>
      <c r="AE29" s="309">
        <f t="shared" si="37"/>
        <v>442.26</v>
      </c>
      <c r="AF29" s="309">
        <f t="shared" si="37"/>
        <v>442.26</v>
      </c>
      <c r="AG29" s="309">
        <f>AG28*$C$29</f>
        <v>442.26</v>
      </c>
      <c r="AH29" s="309">
        <f>AH28*$D$29</f>
        <v>476.28</v>
      </c>
      <c r="AI29" s="309">
        <f t="shared" ref="AI29:AS29" si="38">AI28*$D$29</f>
        <v>476.28</v>
      </c>
      <c r="AJ29" s="309">
        <f t="shared" si="38"/>
        <v>476.28</v>
      </c>
      <c r="AK29" s="309">
        <f t="shared" si="38"/>
        <v>476.28</v>
      </c>
      <c r="AL29" s="309">
        <f t="shared" si="38"/>
        <v>476.28</v>
      </c>
      <c r="AM29" s="309">
        <f t="shared" si="38"/>
        <v>476.28</v>
      </c>
      <c r="AN29" s="309">
        <f t="shared" si="38"/>
        <v>476.28</v>
      </c>
      <c r="AO29" s="309">
        <f t="shared" si="38"/>
        <v>476.28</v>
      </c>
      <c r="AP29" s="309">
        <f t="shared" si="38"/>
        <v>476.28</v>
      </c>
      <c r="AQ29" s="309">
        <f t="shared" si="38"/>
        <v>476.28</v>
      </c>
      <c r="AR29" s="309">
        <f t="shared" si="38"/>
        <v>476.28</v>
      </c>
      <c r="AS29" s="309">
        <f t="shared" si="38"/>
        <v>476.28</v>
      </c>
      <c r="AT29" s="489"/>
    </row>
    <row r="30" spans="1:49" s="490" customFormat="1" ht="17.25" customHeight="1">
      <c r="A30" s="487" t="s">
        <v>162</v>
      </c>
      <c r="B30" s="44">
        <f>1-B29</f>
        <v>0.4</v>
      </c>
      <c r="C30" s="44">
        <f t="shared" ref="C30:D30" si="39">1-C29</f>
        <v>0.4</v>
      </c>
      <c r="D30" s="44">
        <f t="shared" si="39"/>
        <v>0.4</v>
      </c>
      <c r="E30" s="308">
        <f t="shared" si="32"/>
        <v>1769.0400000000004</v>
      </c>
      <c r="F30" s="308">
        <f t="shared" si="33"/>
        <v>3538.0800000000013</v>
      </c>
      <c r="G30" s="308">
        <f t="shared" si="34"/>
        <v>3810.24</v>
      </c>
      <c r="H30" s="43">
        <f t="shared" si="35"/>
        <v>1.0000000000000004</v>
      </c>
      <c r="I30" s="43">
        <f t="shared" si="35"/>
        <v>7.6923076923076428E-2</v>
      </c>
      <c r="J30" s="309">
        <f>J28*$B$30</f>
        <v>60.480000000000011</v>
      </c>
      <c r="K30" s="309">
        <f>K28*$B$30</f>
        <v>75.600000000000009</v>
      </c>
      <c r="L30" s="309">
        <f t="shared" ref="L30:U30" si="40">L28*$B$30</f>
        <v>105.83999999999999</v>
      </c>
      <c r="M30" s="309">
        <f t="shared" si="40"/>
        <v>120.96000000000002</v>
      </c>
      <c r="N30" s="309">
        <f t="shared" si="40"/>
        <v>151.20000000000002</v>
      </c>
      <c r="O30" s="309">
        <f t="shared" si="40"/>
        <v>166.32000000000002</v>
      </c>
      <c r="P30" s="309">
        <f t="shared" si="40"/>
        <v>181.44</v>
      </c>
      <c r="Q30" s="309">
        <f t="shared" si="40"/>
        <v>181.44</v>
      </c>
      <c r="R30" s="309">
        <f t="shared" si="40"/>
        <v>181.44</v>
      </c>
      <c r="S30" s="309">
        <f t="shared" si="40"/>
        <v>181.44</v>
      </c>
      <c r="T30" s="309">
        <f t="shared" si="40"/>
        <v>181.44</v>
      </c>
      <c r="U30" s="309">
        <f t="shared" si="40"/>
        <v>181.44</v>
      </c>
      <c r="V30" s="309">
        <f>V28*$C$30</f>
        <v>294.84000000000003</v>
      </c>
      <c r="W30" s="309">
        <f t="shared" ref="W30:AG30" si="41">W28*$C$30</f>
        <v>294.84000000000003</v>
      </c>
      <c r="X30" s="309">
        <f t="shared" si="41"/>
        <v>294.84000000000003</v>
      </c>
      <c r="Y30" s="309">
        <f t="shared" si="41"/>
        <v>294.84000000000003</v>
      </c>
      <c r="Z30" s="309">
        <f t="shared" si="41"/>
        <v>294.84000000000003</v>
      </c>
      <c r="AA30" s="309">
        <f t="shared" si="41"/>
        <v>294.84000000000003</v>
      </c>
      <c r="AB30" s="309">
        <f t="shared" si="41"/>
        <v>294.84000000000003</v>
      </c>
      <c r="AC30" s="309">
        <f t="shared" si="41"/>
        <v>294.84000000000003</v>
      </c>
      <c r="AD30" s="309">
        <f t="shared" si="41"/>
        <v>294.84000000000003</v>
      </c>
      <c r="AE30" s="309">
        <f t="shared" si="41"/>
        <v>294.84000000000003</v>
      </c>
      <c r="AF30" s="309">
        <f t="shared" si="41"/>
        <v>294.84000000000003</v>
      </c>
      <c r="AG30" s="309">
        <f t="shared" si="41"/>
        <v>294.84000000000003</v>
      </c>
      <c r="AH30" s="309">
        <f>AH28*$D$30</f>
        <v>317.52</v>
      </c>
      <c r="AI30" s="309">
        <f t="shared" ref="AI30:AS30" si="42">AI28*$D$30</f>
        <v>317.52</v>
      </c>
      <c r="AJ30" s="309">
        <f t="shared" si="42"/>
        <v>317.52</v>
      </c>
      <c r="AK30" s="309">
        <f t="shared" si="42"/>
        <v>317.52</v>
      </c>
      <c r="AL30" s="309">
        <f t="shared" si="42"/>
        <v>317.52</v>
      </c>
      <c r="AM30" s="309">
        <f t="shared" si="42"/>
        <v>317.52</v>
      </c>
      <c r="AN30" s="309">
        <f t="shared" si="42"/>
        <v>317.52</v>
      </c>
      <c r="AO30" s="309">
        <f t="shared" si="42"/>
        <v>317.52</v>
      </c>
      <c r="AP30" s="309">
        <f t="shared" si="42"/>
        <v>317.52</v>
      </c>
      <c r="AQ30" s="309">
        <f t="shared" si="42"/>
        <v>317.52</v>
      </c>
      <c r="AR30" s="309">
        <f t="shared" si="42"/>
        <v>317.52</v>
      </c>
      <c r="AS30" s="309">
        <f t="shared" si="42"/>
        <v>317.52</v>
      </c>
      <c r="AT30" s="489"/>
    </row>
    <row r="31" spans="1:49" s="490" customFormat="1" ht="17.25" customHeight="1">
      <c r="A31" s="487" t="s">
        <v>163</v>
      </c>
      <c r="B31" s="488">
        <v>0.2</v>
      </c>
      <c r="C31" s="488">
        <v>0.2</v>
      </c>
      <c r="D31" s="488">
        <v>0.2</v>
      </c>
      <c r="E31" s="308">
        <f t="shared" si="32"/>
        <v>884.52000000000021</v>
      </c>
      <c r="F31" s="308">
        <f t="shared" si="33"/>
        <v>1769.0400000000006</v>
      </c>
      <c r="G31" s="308">
        <f t="shared" si="34"/>
        <v>1905.12</v>
      </c>
      <c r="H31" s="43">
        <f t="shared" si="35"/>
        <v>1.0000000000000004</v>
      </c>
      <c r="I31" s="43">
        <f t="shared" si="35"/>
        <v>7.6923076923076428E-2</v>
      </c>
      <c r="J31" s="309">
        <f>J28*$B$31</f>
        <v>30.240000000000006</v>
      </c>
      <c r="K31" s="309">
        <f t="shared" ref="K31:AS31" si="43">K28*$B$31</f>
        <v>37.800000000000004</v>
      </c>
      <c r="L31" s="309">
        <f t="shared" si="43"/>
        <v>52.919999999999995</v>
      </c>
      <c r="M31" s="309">
        <f t="shared" si="43"/>
        <v>60.480000000000011</v>
      </c>
      <c r="N31" s="309">
        <f t="shared" si="43"/>
        <v>75.600000000000009</v>
      </c>
      <c r="O31" s="309">
        <f t="shared" si="43"/>
        <v>83.160000000000011</v>
      </c>
      <c r="P31" s="309">
        <f t="shared" si="43"/>
        <v>90.72</v>
      </c>
      <c r="Q31" s="309">
        <f t="shared" si="43"/>
        <v>90.72</v>
      </c>
      <c r="R31" s="309">
        <f t="shared" si="43"/>
        <v>90.72</v>
      </c>
      <c r="S31" s="309">
        <f t="shared" si="43"/>
        <v>90.72</v>
      </c>
      <c r="T31" s="309">
        <f t="shared" si="43"/>
        <v>90.72</v>
      </c>
      <c r="U31" s="309">
        <f t="shared" si="43"/>
        <v>90.72</v>
      </c>
      <c r="V31" s="309">
        <f t="shared" si="43"/>
        <v>147.42000000000002</v>
      </c>
      <c r="W31" s="309">
        <f t="shared" si="43"/>
        <v>147.42000000000002</v>
      </c>
      <c r="X31" s="309">
        <f t="shared" si="43"/>
        <v>147.42000000000002</v>
      </c>
      <c r="Y31" s="309">
        <f t="shared" si="43"/>
        <v>147.42000000000002</v>
      </c>
      <c r="Z31" s="309">
        <f t="shared" si="43"/>
        <v>147.42000000000002</v>
      </c>
      <c r="AA31" s="309">
        <f t="shared" si="43"/>
        <v>147.42000000000002</v>
      </c>
      <c r="AB31" s="309">
        <f t="shared" si="43"/>
        <v>147.42000000000002</v>
      </c>
      <c r="AC31" s="309">
        <f t="shared" si="43"/>
        <v>147.42000000000002</v>
      </c>
      <c r="AD31" s="309">
        <f t="shared" si="43"/>
        <v>147.42000000000002</v>
      </c>
      <c r="AE31" s="309">
        <f t="shared" si="43"/>
        <v>147.42000000000002</v>
      </c>
      <c r="AF31" s="309">
        <f t="shared" si="43"/>
        <v>147.42000000000002</v>
      </c>
      <c r="AG31" s="309">
        <f t="shared" si="43"/>
        <v>147.42000000000002</v>
      </c>
      <c r="AH31" s="309">
        <f t="shared" si="43"/>
        <v>158.76</v>
      </c>
      <c r="AI31" s="309">
        <f t="shared" si="43"/>
        <v>158.76</v>
      </c>
      <c r="AJ31" s="309">
        <f t="shared" si="43"/>
        <v>158.76</v>
      </c>
      <c r="AK31" s="309">
        <f t="shared" si="43"/>
        <v>158.76</v>
      </c>
      <c r="AL31" s="309">
        <f t="shared" si="43"/>
        <v>158.76</v>
      </c>
      <c r="AM31" s="309">
        <f t="shared" si="43"/>
        <v>158.76</v>
      </c>
      <c r="AN31" s="309">
        <f t="shared" si="43"/>
        <v>158.76</v>
      </c>
      <c r="AO31" s="309">
        <f t="shared" si="43"/>
        <v>158.76</v>
      </c>
      <c r="AP31" s="309">
        <f t="shared" si="43"/>
        <v>158.76</v>
      </c>
      <c r="AQ31" s="309">
        <f t="shared" si="43"/>
        <v>158.76</v>
      </c>
      <c r="AR31" s="309">
        <f t="shared" si="43"/>
        <v>158.76</v>
      </c>
      <c r="AS31" s="309">
        <f t="shared" si="43"/>
        <v>158.76</v>
      </c>
      <c r="AT31" s="489"/>
    </row>
    <row r="32" spans="1:49" ht="17.25" customHeight="1">
      <c r="A32" s="491" t="s">
        <v>24</v>
      </c>
      <c r="B32" s="492">
        <v>3500</v>
      </c>
      <c r="C32" s="492">
        <v>3850</v>
      </c>
      <c r="D32" s="492">
        <v>3850</v>
      </c>
      <c r="E32" s="308">
        <f>IFERROR(E35/E28,0)</f>
        <v>3500.0000000000005</v>
      </c>
      <c r="F32" s="308">
        <f>IFERROR(F35/F28,0)</f>
        <v>3849.9999999999991</v>
      </c>
      <c r="G32" s="308">
        <f>IFERROR(G35/G28,0)</f>
        <v>3850</v>
      </c>
      <c r="H32" s="307"/>
      <c r="I32" s="307"/>
      <c r="J32" s="309">
        <f>B32*(1-B33)</f>
        <v>3500</v>
      </c>
      <c r="K32" s="309">
        <f>J32</f>
        <v>3500</v>
      </c>
      <c r="L32" s="309">
        <f>K32</f>
        <v>3500</v>
      </c>
      <c r="M32" s="309">
        <f>L32</f>
        <v>3500</v>
      </c>
      <c r="N32" s="309">
        <f t="shared" ref="N32:AS32" si="44">M32</f>
        <v>3500</v>
      </c>
      <c r="O32" s="309">
        <f t="shared" si="44"/>
        <v>3500</v>
      </c>
      <c r="P32" s="309">
        <f t="shared" si="44"/>
        <v>3500</v>
      </c>
      <c r="Q32" s="309">
        <f t="shared" si="44"/>
        <v>3500</v>
      </c>
      <c r="R32" s="309">
        <f t="shared" si="44"/>
        <v>3500</v>
      </c>
      <c r="S32" s="309">
        <f>R32</f>
        <v>3500</v>
      </c>
      <c r="T32" s="309">
        <f t="shared" si="44"/>
        <v>3500</v>
      </c>
      <c r="U32" s="309">
        <f t="shared" si="44"/>
        <v>3500</v>
      </c>
      <c r="V32" s="309">
        <f>C32*(1-C33)</f>
        <v>3850</v>
      </c>
      <c r="W32" s="309">
        <f>V32</f>
        <v>3850</v>
      </c>
      <c r="X32" s="309">
        <f t="shared" si="44"/>
        <v>3850</v>
      </c>
      <c r="Y32" s="309">
        <f t="shared" si="44"/>
        <v>3850</v>
      </c>
      <c r="Z32" s="309">
        <f t="shared" si="44"/>
        <v>3850</v>
      </c>
      <c r="AA32" s="309">
        <f t="shared" si="44"/>
        <v>3850</v>
      </c>
      <c r="AB32" s="309">
        <f t="shared" si="44"/>
        <v>3850</v>
      </c>
      <c r="AC32" s="309">
        <f t="shared" si="44"/>
        <v>3850</v>
      </c>
      <c r="AD32" s="309">
        <f t="shared" si="44"/>
        <v>3850</v>
      </c>
      <c r="AE32" s="309">
        <f t="shared" si="44"/>
        <v>3850</v>
      </c>
      <c r="AF32" s="309">
        <f t="shared" si="44"/>
        <v>3850</v>
      </c>
      <c r="AG32" s="309">
        <f t="shared" si="44"/>
        <v>3850</v>
      </c>
      <c r="AH32" s="309">
        <f>D32*(1-D33)</f>
        <v>3850</v>
      </c>
      <c r="AI32" s="309">
        <f t="shared" si="44"/>
        <v>3850</v>
      </c>
      <c r="AJ32" s="309">
        <f t="shared" si="44"/>
        <v>3850</v>
      </c>
      <c r="AK32" s="309">
        <f t="shared" si="44"/>
        <v>3850</v>
      </c>
      <c r="AL32" s="309">
        <f t="shared" si="44"/>
        <v>3850</v>
      </c>
      <c r="AM32" s="309">
        <f t="shared" si="44"/>
        <v>3850</v>
      </c>
      <c r="AN32" s="309">
        <f t="shared" si="44"/>
        <v>3850</v>
      </c>
      <c r="AO32" s="309">
        <f t="shared" si="44"/>
        <v>3850</v>
      </c>
      <c r="AP32" s="309">
        <f t="shared" si="44"/>
        <v>3850</v>
      </c>
      <c r="AQ32" s="309">
        <f t="shared" si="44"/>
        <v>3850</v>
      </c>
      <c r="AR32" s="309">
        <f t="shared" si="44"/>
        <v>3850</v>
      </c>
      <c r="AS32" s="309">
        <f t="shared" si="44"/>
        <v>3850</v>
      </c>
      <c r="AT32" s="287"/>
      <c r="AU32" s="293"/>
      <c r="AV32" s="293"/>
      <c r="AW32" s="293"/>
    </row>
    <row r="33" spans="1:49" s="495" customFormat="1" ht="17.25" customHeight="1" outlineLevel="1">
      <c r="A33" s="493" t="s">
        <v>26</v>
      </c>
      <c r="B33" s="488"/>
      <c r="C33" s="488"/>
      <c r="D33" s="488"/>
      <c r="E33" s="312"/>
      <c r="F33" s="312"/>
      <c r="G33" s="312"/>
      <c r="H33" s="313"/>
      <c r="I33" s="313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494"/>
    </row>
    <row r="34" spans="1:49" ht="17.25" customHeight="1">
      <c r="A34" s="479" t="s">
        <v>33</v>
      </c>
      <c r="B34" s="285">
        <f>B32*B27</f>
        <v>126000</v>
      </c>
      <c r="C34" s="285">
        <f>C32*C27</f>
        <v>207900</v>
      </c>
      <c r="D34" s="285">
        <f>D32*D27</f>
        <v>207900</v>
      </c>
      <c r="E34" s="308"/>
      <c r="F34" s="308"/>
      <c r="G34" s="308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287"/>
      <c r="AU34" s="293"/>
      <c r="AV34" s="293"/>
      <c r="AW34" s="293"/>
    </row>
    <row r="35" spans="1:49" s="496" customFormat="1" ht="22.5" customHeight="1">
      <c r="A35" s="469" t="s">
        <v>118</v>
      </c>
      <c r="B35" s="45">
        <f>B34*B21</f>
        <v>2646000</v>
      </c>
      <c r="C35" s="45">
        <f>C34*C21</f>
        <v>4365900</v>
      </c>
      <c r="D35" s="45">
        <f>D34*D21</f>
        <v>4365900</v>
      </c>
      <c r="E35" s="296">
        <f>SUMIF($J$7:$AS$7,$E$7,$J35:$AS35)</f>
        <v>15479100</v>
      </c>
      <c r="F35" s="296">
        <f>SUMIF($J$7:$AS$7,$F$7,$J35:$AS35)</f>
        <v>34054020</v>
      </c>
      <c r="G35" s="296">
        <f>SUMIF($J$7:$AS$7,$G$7,$J35:$AS35)</f>
        <v>36673560</v>
      </c>
      <c r="H35" s="38">
        <f>IFERROR(F35/E35-1,0)</f>
        <v>1.2000000000000002</v>
      </c>
      <c r="I35" s="38">
        <f>IFERROR(G35/F35-1,0)</f>
        <v>7.6923076923076872E-2</v>
      </c>
      <c r="J35" s="39">
        <f>J32*J28</f>
        <v>529200.00000000012</v>
      </c>
      <c r="K35" s="39">
        <f>K32*K28</f>
        <v>661500</v>
      </c>
      <c r="L35" s="39">
        <f t="shared" ref="L35:AS35" si="45">L32*L28</f>
        <v>926099.99999999988</v>
      </c>
      <c r="M35" s="39">
        <f t="shared" si="45"/>
        <v>1058400.0000000002</v>
      </c>
      <c r="N35" s="39">
        <f t="shared" si="45"/>
        <v>1323000</v>
      </c>
      <c r="O35" s="39">
        <f t="shared" si="45"/>
        <v>1455300</v>
      </c>
      <c r="P35" s="39">
        <f t="shared" si="45"/>
        <v>1587599.9999999998</v>
      </c>
      <c r="Q35" s="39">
        <f t="shared" si="45"/>
        <v>1587599.9999999998</v>
      </c>
      <c r="R35" s="39">
        <f t="shared" si="45"/>
        <v>1587599.9999999998</v>
      </c>
      <c r="S35" s="39">
        <f t="shared" si="45"/>
        <v>1587599.9999999998</v>
      </c>
      <c r="T35" s="39">
        <f t="shared" si="45"/>
        <v>1587599.9999999998</v>
      </c>
      <c r="U35" s="39">
        <f t="shared" si="45"/>
        <v>1587599.9999999998</v>
      </c>
      <c r="V35" s="39">
        <f t="shared" si="45"/>
        <v>2837835</v>
      </c>
      <c r="W35" s="39">
        <f t="shared" si="45"/>
        <v>2837835</v>
      </c>
      <c r="X35" s="39">
        <f t="shared" si="45"/>
        <v>2837835</v>
      </c>
      <c r="Y35" s="39">
        <f t="shared" si="45"/>
        <v>2837835</v>
      </c>
      <c r="Z35" s="39">
        <f t="shared" si="45"/>
        <v>2837835</v>
      </c>
      <c r="AA35" s="39">
        <f t="shared" si="45"/>
        <v>2837835</v>
      </c>
      <c r="AB35" s="39">
        <f t="shared" si="45"/>
        <v>2837835</v>
      </c>
      <c r="AC35" s="39">
        <f t="shared" si="45"/>
        <v>2837835</v>
      </c>
      <c r="AD35" s="39">
        <f t="shared" si="45"/>
        <v>2837835</v>
      </c>
      <c r="AE35" s="39">
        <f t="shared" si="45"/>
        <v>2837835</v>
      </c>
      <c r="AF35" s="39">
        <f t="shared" si="45"/>
        <v>2837835</v>
      </c>
      <c r="AG35" s="39">
        <f t="shared" si="45"/>
        <v>2837835</v>
      </c>
      <c r="AH35" s="39">
        <f t="shared" si="45"/>
        <v>3056130</v>
      </c>
      <c r="AI35" s="39">
        <f t="shared" si="45"/>
        <v>3056130</v>
      </c>
      <c r="AJ35" s="39">
        <f t="shared" si="45"/>
        <v>3056130</v>
      </c>
      <c r="AK35" s="39">
        <f t="shared" si="45"/>
        <v>3056130</v>
      </c>
      <c r="AL35" s="39">
        <f t="shared" si="45"/>
        <v>3056130</v>
      </c>
      <c r="AM35" s="39">
        <f t="shared" si="45"/>
        <v>3056130</v>
      </c>
      <c r="AN35" s="39">
        <f t="shared" si="45"/>
        <v>3056130</v>
      </c>
      <c r="AO35" s="39">
        <f t="shared" si="45"/>
        <v>3056130</v>
      </c>
      <c r="AP35" s="39">
        <f t="shared" si="45"/>
        <v>3056130</v>
      </c>
      <c r="AQ35" s="39">
        <f t="shared" si="45"/>
        <v>3056130</v>
      </c>
      <c r="AR35" s="39">
        <f t="shared" si="45"/>
        <v>3056130</v>
      </c>
      <c r="AS35" s="39">
        <f t="shared" si="45"/>
        <v>3056130</v>
      </c>
      <c r="AT35" s="297"/>
    </row>
    <row r="36" spans="1:49" ht="3.75" customHeight="1">
      <c r="A36" s="497"/>
      <c r="B36" s="288"/>
      <c r="C36" s="288"/>
      <c r="D36" s="288"/>
      <c r="E36" s="310"/>
      <c r="F36" s="310"/>
      <c r="G36" s="310"/>
      <c r="H36" s="292"/>
      <c r="I36" s="292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287"/>
      <c r="AU36" s="293"/>
      <c r="AV36" s="293"/>
      <c r="AW36" s="293"/>
    </row>
    <row r="37" spans="1:49" ht="17.25" customHeight="1">
      <c r="A37" s="469" t="s">
        <v>164</v>
      </c>
      <c r="B37" s="316"/>
      <c r="C37" s="316"/>
      <c r="D37" s="316"/>
      <c r="E37" s="317"/>
      <c r="F37" s="317"/>
      <c r="G37" s="317"/>
      <c r="H37" s="302"/>
      <c r="I37" s="301"/>
      <c r="J37" s="318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287"/>
      <c r="AU37" s="293"/>
      <c r="AV37" s="293"/>
      <c r="AW37" s="293"/>
    </row>
    <row r="38" spans="1:49" ht="17.25" customHeight="1">
      <c r="A38" s="498" t="s">
        <v>165</v>
      </c>
      <c r="B38" s="499">
        <v>0.2</v>
      </c>
      <c r="C38" s="500">
        <v>0.22</v>
      </c>
      <c r="D38" s="499">
        <v>0.25</v>
      </c>
      <c r="E38" s="310"/>
      <c r="F38" s="310"/>
      <c r="G38" s="310"/>
      <c r="H38" s="292"/>
      <c r="I38" s="292"/>
      <c r="J38" s="325">
        <f>J40/(J30*2)</f>
        <v>0.19841269841269837</v>
      </c>
      <c r="K38" s="325">
        <f t="shared" ref="K38:AS38" si="46">K40/(K30*2)</f>
        <v>0.1984126984126984</v>
      </c>
      <c r="L38" s="325">
        <f t="shared" si="46"/>
        <v>0.19841269841269843</v>
      </c>
      <c r="M38" s="325">
        <f t="shared" si="46"/>
        <v>0.19841269841269837</v>
      </c>
      <c r="N38" s="325">
        <f t="shared" si="46"/>
        <v>0.1984126984126984</v>
      </c>
      <c r="O38" s="325">
        <f t="shared" si="46"/>
        <v>0.20141895141895139</v>
      </c>
      <c r="P38" s="325">
        <f t="shared" si="46"/>
        <v>0.20116843033509701</v>
      </c>
      <c r="Q38" s="325">
        <f t="shared" si="46"/>
        <v>0.20116843033509701</v>
      </c>
      <c r="R38" s="325">
        <f t="shared" si="46"/>
        <v>0.20116843033509701</v>
      </c>
      <c r="S38" s="325">
        <f t="shared" si="46"/>
        <v>0.20116843033509701</v>
      </c>
      <c r="T38" s="325">
        <f t="shared" si="46"/>
        <v>0.20116843033509701</v>
      </c>
      <c r="U38" s="325">
        <f t="shared" si="46"/>
        <v>0.20116843033509701</v>
      </c>
      <c r="V38" s="325">
        <f t="shared" si="46"/>
        <v>0.22045855379188711</v>
      </c>
      <c r="W38" s="325">
        <f t="shared" si="46"/>
        <v>0.22045855379188711</v>
      </c>
      <c r="X38" s="325">
        <f t="shared" si="46"/>
        <v>0.22045855379188711</v>
      </c>
      <c r="Y38" s="325">
        <f t="shared" si="46"/>
        <v>0.22045855379188711</v>
      </c>
      <c r="Z38" s="325">
        <f t="shared" si="46"/>
        <v>0.22045855379188711</v>
      </c>
      <c r="AA38" s="325">
        <f t="shared" si="46"/>
        <v>0.22045855379188711</v>
      </c>
      <c r="AB38" s="325">
        <f t="shared" si="46"/>
        <v>0.22045855379188711</v>
      </c>
      <c r="AC38" s="325">
        <f t="shared" si="46"/>
        <v>0.22045855379188711</v>
      </c>
      <c r="AD38" s="325">
        <f t="shared" si="46"/>
        <v>0.22045855379188711</v>
      </c>
      <c r="AE38" s="325">
        <f t="shared" si="46"/>
        <v>0.22045855379188711</v>
      </c>
      <c r="AF38" s="325">
        <f t="shared" si="46"/>
        <v>0.22045855379188711</v>
      </c>
      <c r="AG38" s="325">
        <f t="shared" si="46"/>
        <v>0.22045855379188711</v>
      </c>
      <c r="AH38" s="325">
        <f t="shared" si="46"/>
        <v>0.25037792894935751</v>
      </c>
      <c r="AI38" s="325">
        <f t="shared" si="46"/>
        <v>0.25037792894935751</v>
      </c>
      <c r="AJ38" s="325">
        <f t="shared" si="46"/>
        <v>0.25037792894935751</v>
      </c>
      <c r="AK38" s="325">
        <f t="shared" si="46"/>
        <v>0.25037792894935751</v>
      </c>
      <c r="AL38" s="325">
        <f t="shared" si="46"/>
        <v>0.25037792894935751</v>
      </c>
      <c r="AM38" s="325">
        <f t="shared" si="46"/>
        <v>0.25037792894935751</v>
      </c>
      <c r="AN38" s="325">
        <f t="shared" si="46"/>
        <v>0.25037792894935751</v>
      </c>
      <c r="AO38" s="325">
        <f t="shared" si="46"/>
        <v>0.25037792894935751</v>
      </c>
      <c r="AP38" s="325">
        <f t="shared" si="46"/>
        <v>0.25037792894935751</v>
      </c>
      <c r="AQ38" s="325">
        <f>AQ40/(AQ30*2)</f>
        <v>0.25037792894935751</v>
      </c>
      <c r="AR38" s="325">
        <f t="shared" si="46"/>
        <v>0.25037792894935751</v>
      </c>
      <c r="AS38" s="325">
        <f t="shared" si="46"/>
        <v>0.25037792894935751</v>
      </c>
      <c r="AT38" s="287"/>
      <c r="AU38" s="293"/>
      <c r="AV38" s="293"/>
      <c r="AW38" s="293"/>
    </row>
    <row r="39" spans="1:49" s="461" customFormat="1" ht="17.25" customHeight="1">
      <c r="A39" s="501" t="s">
        <v>166</v>
      </c>
      <c r="B39" s="502">
        <v>94000</v>
      </c>
      <c r="C39" s="503">
        <v>100000</v>
      </c>
      <c r="D39" s="503">
        <v>110000</v>
      </c>
      <c r="E39" s="308"/>
      <c r="F39" s="308"/>
      <c r="G39" s="308"/>
      <c r="H39" s="307"/>
      <c r="I39" s="307"/>
      <c r="J39" s="291">
        <f>B39</f>
        <v>94000</v>
      </c>
      <c r="K39" s="291">
        <f>J39</f>
        <v>94000</v>
      </c>
      <c r="L39" s="291">
        <f t="shared" ref="L39:U39" si="47">K39</f>
        <v>94000</v>
      </c>
      <c r="M39" s="291">
        <f t="shared" si="47"/>
        <v>94000</v>
      </c>
      <c r="N39" s="291">
        <f t="shared" si="47"/>
        <v>94000</v>
      </c>
      <c r="O39" s="291">
        <f t="shared" si="47"/>
        <v>94000</v>
      </c>
      <c r="P39" s="291">
        <f t="shared" si="47"/>
        <v>94000</v>
      </c>
      <c r="Q39" s="291">
        <f t="shared" si="47"/>
        <v>94000</v>
      </c>
      <c r="R39" s="291">
        <f t="shared" si="47"/>
        <v>94000</v>
      </c>
      <c r="S39" s="291">
        <f t="shared" si="47"/>
        <v>94000</v>
      </c>
      <c r="T39" s="291">
        <f t="shared" si="47"/>
        <v>94000</v>
      </c>
      <c r="U39" s="291">
        <f t="shared" si="47"/>
        <v>94000</v>
      </c>
      <c r="V39" s="291">
        <f>C39</f>
        <v>100000</v>
      </c>
      <c r="W39" s="291">
        <f>V39</f>
        <v>100000</v>
      </c>
      <c r="X39" s="291">
        <f t="shared" ref="X39:AG39" si="48">W39</f>
        <v>100000</v>
      </c>
      <c r="Y39" s="291">
        <f t="shared" si="48"/>
        <v>100000</v>
      </c>
      <c r="Z39" s="291">
        <f t="shared" si="48"/>
        <v>100000</v>
      </c>
      <c r="AA39" s="291">
        <f t="shared" si="48"/>
        <v>100000</v>
      </c>
      <c r="AB39" s="291">
        <f t="shared" si="48"/>
        <v>100000</v>
      </c>
      <c r="AC39" s="291">
        <f t="shared" si="48"/>
        <v>100000</v>
      </c>
      <c r="AD39" s="291">
        <f t="shared" si="48"/>
        <v>100000</v>
      </c>
      <c r="AE39" s="291">
        <f t="shared" si="48"/>
        <v>100000</v>
      </c>
      <c r="AF39" s="291">
        <f t="shared" si="48"/>
        <v>100000</v>
      </c>
      <c r="AG39" s="291">
        <f t="shared" si="48"/>
        <v>100000</v>
      </c>
      <c r="AH39" s="291">
        <f>D39</f>
        <v>110000</v>
      </c>
      <c r="AI39" s="291">
        <f>AH39</f>
        <v>110000</v>
      </c>
      <c r="AJ39" s="291">
        <f t="shared" ref="AJ39:AS39" si="49">AI39</f>
        <v>110000</v>
      </c>
      <c r="AK39" s="291">
        <f t="shared" si="49"/>
        <v>110000</v>
      </c>
      <c r="AL39" s="291">
        <f t="shared" si="49"/>
        <v>110000</v>
      </c>
      <c r="AM39" s="291">
        <f t="shared" si="49"/>
        <v>110000</v>
      </c>
      <c r="AN39" s="291">
        <f t="shared" si="49"/>
        <v>110000</v>
      </c>
      <c r="AO39" s="291">
        <f t="shared" si="49"/>
        <v>110000</v>
      </c>
      <c r="AP39" s="291">
        <f t="shared" si="49"/>
        <v>110000</v>
      </c>
      <c r="AQ39" s="291">
        <f t="shared" si="49"/>
        <v>110000</v>
      </c>
      <c r="AR39" s="291">
        <f t="shared" si="49"/>
        <v>110000</v>
      </c>
      <c r="AS39" s="291">
        <f t="shared" si="49"/>
        <v>110000</v>
      </c>
      <c r="AT39" s="465"/>
    </row>
    <row r="40" spans="1:49" s="461" customFormat="1" ht="17.25" customHeight="1">
      <c r="A40" s="479" t="s">
        <v>167</v>
      </c>
      <c r="B40" s="320"/>
      <c r="C40" s="320"/>
      <c r="D40" s="320"/>
      <c r="E40" s="308">
        <f>SUMIF($J$7:$AS$7,$E$7,$J40:$AS40)</f>
        <v>709</v>
      </c>
      <c r="F40" s="308">
        <f>SUMIF($J$7:$AS$7,$F$7,$J40:$AS40)</f>
        <v>1560</v>
      </c>
      <c r="G40" s="308">
        <f>SUMIF($J$7:$AS$7,$G$7,$J40:$AS40)</f>
        <v>1908</v>
      </c>
      <c r="H40" s="43">
        <f>IFERROR(F40/E40-1,0)</f>
        <v>1.2002820874471087</v>
      </c>
      <c r="I40" s="43">
        <f>IFERROR(G40/F40-1,0)</f>
        <v>0.22307692307692317</v>
      </c>
      <c r="J40" s="504">
        <f>ROUND(J30*2*$B$38,0)</f>
        <v>24</v>
      </c>
      <c r="K40" s="504">
        <f t="shared" ref="K40:U40" si="50">ROUND(K30*2*$B$38,0)</f>
        <v>30</v>
      </c>
      <c r="L40" s="504">
        <f t="shared" si="50"/>
        <v>42</v>
      </c>
      <c r="M40" s="504">
        <f t="shared" si="50"/>
        <v>48</v>
      </c>
      <c r="N40" s="504">
        <f t="shared" si="50"/>
        <v>60</v>
      </c>
      <c r="O40" s="504">
        <f t="shared" si="50"/>
        <v>67</v>
      </c>
      <c r="P40" s="504">
        <f t="shared" si="50"/>
        <v>73</v>
      </c>
      <c r="Q40" s="504">
        <f t="shared" si="50"/>
        <v>73</v>
      </c>
      <c r="R40" s="504">
        <f t="shared" si="50"/>
        <v>73</v>
      </c>
      <c r="S40" s="504">
        <f t="shared" si="50"/>
        <v>73</v>
      </c>
      <c r="T40" s="504">
        <f t="shared" si="50"/>
        <v>73</v>
      </c>
      <c r="U40" s="504">
        <f t="shared" si="50"/>
        <v>73</v>
      </c>
      <c r="V40" s="504">
        <f>ROUND(V30*2*$C$38,0)</f>
        <v>130</v>
      </c>
      <c r="W40" s="504">
        <f t="shared" ref="W40:AG40" si="51">ROUND(W30*2*$C$38,0)</f>
        <v>130</v>
      </c>
      <c r="X40" s="504">
        <f t="shared" si="51"/>
        <v>130</v>
      </c>
      <c r="Y40" s="504">
        <f t="shared" si="51"/>
        <v>130</v>
      </c>
      <c r="Z40" s="504">
        <f t="shared" si="51"/>
        <v>130</v>
      </c>
      <c r="AA40" s="504">
        <f t="shared" si="51"/>
        <v>130</v>
      </c>
      <c r="AB40" s="504">
        <f t="shared" si="51"/>
        <v>130</v>
      </c>
      <c r="AC40" s="504">
        <f t="shared" si="51"/>
        <v>130</v>
      </c>
      <c r="AD40" s="504">
        <f t="shared" si="51"/>
        <v>130</v>
      </c>
      <c r="AE40" s="504">
        <f t="shared" si="51"/>
        <v>130</v>
      </c>
      <c r="AF40" s="504">
        <f t="shared" si="51"/>
        <v>130</v>
      </c>
      <c r="AG40" s="504">
        <f t="shared" si="51"/>
        <v>130</v>
      </c>
      <c r="AH40" s="504">
        <f>ROUND(AH30*2*$D$38,0)</f>
        <v>159</v>
      </c>
      <c r="AI40" s="504">
        <f t="shared" ref="AI40:AS40" si="52">ROUND(AI30*2*$D$38,0)</f>
        <v>159</v>
      </c>
      <c r="AJ40" s="504">
        <f t="shared" si="52"/>
        <v>159</v>
      </c>
      <c r="AK40" s="504">
        <f t="shared" si="52"/>
        <v>159</v>
      </c>
      <c r="AL40" s="504">
        <f t="shared" si="52"/>
        <v>159</v>
      </c>
      <c r="AM40" s="504">
        <f t="shared" si="52"/>
        <v>159</v>
      </c>
      <c r="AN40" s="504">
        <f t="shared" si="52"/>
        <v>159</v>
      </c>
      <c r="AO40" s="504">
        <f t="shared" si="52"/>
        <v>159</v>
      </c>
      <c r="AP40" s="504">
        <f t="shared" si="52"/>
        <v>159</v>
      </c>
      <c r="AQ40" s="504">
        <f t="shared" si="52"/>
        <v>159</v>
      </c>
      <c r="AR40" s="504">
        <f t="shared" si="52"/>
        <v>159</v>
      </c>
      <c r="AS40" s="504">
        <f t="shared" si="52"/>
        <v>159</v>
      </c>
      <c r="AT40" s="465"/>
    </row>
    <row r="41" spans="1:49" s="496" customFormat="1" ht="22.5" customHeight="1">
      <c r="A41" s="469" t="s">
        <v>168</v>
      </c>
      <c r="B41" s="45">
        <f>$B$39*$B$27*$B$30*$B$38*$B$21</f>
        <v>5685120</v>
      </c>
      <c r="C41" s="45">
        <f t="shared" ref="C41" si="53">C39*C27*C30*C38*C21</f>
        <v>9979200</v>
      </c>
      <c r="D41" s="45">
        <f>D39*D27*D30*D38*D21</f>
        <v>12474000</v>
      </c>
      <c r="E41" s="296">
        <f>SUMIF($J$7:$AS$7,$E$7,$J41:$AS41)</f>
        <v>66646000</v>
      </c>
      <c r="F41" s="296">
        <f>SUMIF($J$7:$AS$7,$F$7,$J41:$AS41)</f>
        <v>156000000</v>
      </c>
      <c r="G41" s="296">
        <f>SUMIF($J$7:$AS$7,$G$7,$J41:$AS41)</f>
        <v>209880000</v>
      </c>
      <c r="H41" s="38">
        <f>IFERROR(F41/E41-1,0)</f>
        <v>1.3407256249437327</v>
      </c>
      <c r="I41" s="38">
        <f>IFERROR(G41/F41-1,0)</f>
        <v>0.3453846153846154</v>
      </c>
      <c r="J41" s="39">
        <f>J40*J39</f>
        <v>2256000</v>
      </c>
      <c r="K41" s="39">
        <f t="shared" ref="K41:AS41" si="54">K40*K39</f>
        <v>2820000</v>
      </c>
      <c r="L41" s="39">
        <f t="shared" si="54"/>
        <v>3948000</v>
      </c>
      <c r="M41" s="39">
        <f t="shared" si="54"/>
        <v>4512000</v>
      </c>
      <c r="N41" s="39">
        <f t="shared" si="54"/>
        <v>5640000</v>
      </c>
      <c r="O41" s="39">
        <f t="shared" si="54"/>
        <v>6298000</v>
      </c>
      <c r="P41" s="39">
        <f t="shared" si="54"/>
        <v>6862000</v>
      </c>
      <c r="Q41" s="39">
        <f t="shared" si="54"/>
        <v>6862000</v>
      </c>
      <c r="R41" s="39">
        <f t="shared" si="54"/>
        <v>6862000</v>
      </c>
      <c r="S41" s="39">
        <f t="shared" si="54"/>
        <v>6862000</v>
      </c>
      <c r="T41" s="39">
        <f t="shared" si="54"/>
        <v>6862000</v>
      </c>
      <c r="U41" s="39">
        <f t="shared" si="54"/>
        <v>6862000</v>
      </c>
      <c r="V41" s="39">
        <f t="shared" si="54"/>
        <v>13000000</v>
      </c>
      <c r="W41" s="39">
        <f t="shared" si="54"/>
        <v>13000000</v>
      </c>
      <c r="X41" s="39">
        <f t="shared" si="54"/>
        <v>13000000</v>
      </c>
      <c r="Y41" s="39">
        <f t="shared" si="54"/>
        <v>13000000</v>
      </c>
      <c r="Z41" s="39">
        <f t="shared" si="54"/>
        <v>13000000</v>
      </c>
      <c r="AA41" s="39">
        <f t="shared" si="54"/>
        <v>13000000</v>
      </c>
      <c r="AB41" s="39">
        <f t="shared" si="54"/>
        <v>13000000</v>
      </c>
      <c r="AC41" s="39">
        <f t="shared" si="54"/>
        <v>13000000</v>
      </c>
      <c r="AD41" s="39">
        <f t="shared" si="54"/>
        <v>13000000</v>
      </c>
      <c r="AE41" s="39">
        <f t="shared" si="54"/>
        <v>13000000</v>
      </c>
      <c r="AF41" s="39">
        <f t="shared" si="54"/>
        <v>13000000</v>
      </c>
      <c r="AG41" s="39">
        <f t="shared" si="54"/>
        <v>13000000</v>
      </c>
      <c r="AH41" s="39">
        <f t="shared" si="54"/>
        <v>17490000</v>
      </c>
      <c r="AI41" s="39">
        <f t="shared" si="54"/>
        <v>17490000</v>
      </c>
      <c r="AJ41" s="39">
        <f t="shared" si="54"/>
        <v>17490000</v>
      </c>
      <c r="AK41" s="39">
        <f t="shared" si="54"/>
        <v>17490000</v>
      </c>
      <c r="AL41" s="39">
        <f t="shared" si="54"/>
        <v>17490000</v>
      </c>
      <c r="AM41" s="39">
        <f t="shared" si="54"/>
        <v>17490000</v>
      </c>
      <c r="AN41" s="39">
        <f t="shared" si="54"/>
        <v>17490000</v>
      </c>
      <c r="AO41" s="39">
        <f t="shared" si="54"/>
        <v>17490000</v>
      </c>
      <c r="AP41" s="39">
        <f t="shared" si="54"/>
        <v>17490000</v>
      </c>
      <c r="AQ41" s="39">
        <f t="shared" si="54"/>
        <v>17490000</v>
      </c>
      <c r="AR41" s="39">
        <f t="shared" si="54"/>
        <v>17490000</v>
      </c>
      <c r="AS41" s="39">
        <f t="shared" si="54"/>
        <v>17490000</v>
      </c>
      <c r="AT41" s="297"/>
    </row>
    <row r="42" spans="1:49" ht="3.75" customHeight="1">
      <c r="A42" s="293"/>
      <c r="B42" s="288"/>
      <c r="C42" s="288"/>
      <c r="D42" s="288"/>
      <c r="E42" s="310"/>
      <c r="F42" s="310"/>
      <c r="G42" s="310"/>
      <c r="H42" s="292"/>
      <c r="I42" s="292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287"/>
      <c r="AU42" s="293"/>
      <c r="AV42" s="293"/>
      <c r="AW42" s="293"/>
    </row>
    <row r="43" spans="1:49" ht="17.25" customHeight="1">
      <c r="A43" s="469" t="s">
        <v>169</v>
      </c>
      <c r="B43" s="316"/>
      <c r="C43" s="316"/>
      <c r="D43" s="316"/>
      <c r="E43" s="317"/>
      <c r="F43" s="317"/>
      <c r="G43" s="317"/>
      <c r="H43" s="302"/>
      <c r="I43" s="302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287"/>
      <c r="AU43" s="293"/>
      <c r="AV43" s="293"/>
      <c r="AW43" s="293"/>
    </row>
    <row r="44" spans="1:49" ht="17.25" customHeight="1">
      <c r="A44" s="498" t="s">
        <v>170</v>
      </c>
      <c r="B44" s="499">
        <v>0.3</v>
      </c>
      <c r="C44" s="499">
        <v>0.35</v>
      </c>
      <c r="D44" s="500">
        <v>0.43</v>
      </c>
      <c r="E44" s="310"/>
      <c r="F44" s="310"/>
      <c r="G44" s="310"/>
      <c r="H44" s="292"/>
      <c r="I44" s="292"/>
      <c r="J44" s="325">
        <f>J46/(J29*2)</f>
        <v>0.29761904761904756</v>
      </c>
      <c r="K44" s="325">
        <f t="shared" ref="K44:AS44" si="55">K46/(K29*2)</f>
        <v>0.29982363315696653</v>
      </c>
      <c r="L44" s="325">
        <f t="shared" si="55"/>
        <v>0.29919375157470401</v>
      </c>
      <c r="M44" s="325">
        <f t="shared" si="55"/>
        <v>0.30037477954144615</v>
      </c>
      <c r="N44" s="325">
        <f t="shared" si="55"/>
        <v>0.29982363315696653</v>
      </c>
      <c r="O44" s="325">
        <f t="shared" si="55"/>
        <v>0.30062530062530063</v>
      </c>
      <c r="P44" s="325">
        <f t="shared" si="55"/>
        <v>0.29945620223398006</v>
      </c>
      <c r="Q44" s="325">
        <f t="shared" si="55"/>
        <v>0.29945620223398006</v>
      </c>
      <c r="R44" s="325">
        <f t="shared" si="55"/>
        <v>0.29945620223398006</v>
      </c>
      <c r="S44" s="325">
        <f t="shared" si="55"/>
        <v>0.29945620223398006</v>
      </c>
      <c r="T44" s="325">
        <f t="shared" si="55"/>
        <v>0.29945620223398006</v>
      </c>
      <c r="U44" s="325">
        <f t="shared" si="55"/>
        <v>0.29945620223398006</v>
      </c>
      <c r="V44" s="325">
        <f t="shared" si="55"/>
        <v>0.35047257269479493</v>
      </c>
      <c r="W44" s="325">
        <f t="shared" si="55"/>
        <v>0.35047257269479493</v>
      </c>
      <c r="X44" s="325">
        <f t="shared" si="55"/>
        <v>0.35047257269479493</v>
      </c>
      <c r="Y44" s="325">
        <f t="shared" si="55"/>
        <v>0.35047257269479493</v>
      </c>
      <c r="Z44" s="325">
        <f t="shared" si="55"/>
        <v>0.35047257269479493</v>
      </c>
      <c r="AA44" s="325">
        <f t="shared" si="55"/>
        <v>0.35047257269479493</v>
      </c>
      <c r="AB44" s="325">
        <f t="shared" si="55"/>
        <v>0.35047257269479493</v>
      </c>
      <c r="AC44" s="325">
        <f t="shared" si="55"/>
        <v>0.35047257269479493</v>
      </c>
      <c r="AD44" s="325">
        <f t="shared" si="55"/>
        <v>0.35047257269479493</v>
      </c>
      <c r="AE44" s="325">
        <f t="shared" si="55"/>
        <v>0.35047257269479493</v>
      </c>
      <c r="AF44" s="325">
        <f t="shared" si="55"/>
        <v>0.35047257269479493</v>
      </c>
      <c r="AG44" s="325">
        <f t="shared" si="55"/>
        <v>0.35047257269479493</v>
      </c>
      <c r="AH44" s="325">
        <f t="shared" si="55"/>
        <v>0.43041908121273204</v>
      </c>
      <c r="AI44" s="325">
        <f t="shared" si="55"/>
        <v>0.43041908121273204</v>
      </c>
      <c r="AJ44" s="325">
        <f t="shared" si="55"/>
        <v>0.43041908121273204</v>
      </c>
      <c r="AK44" s="325">
        <f t="shared" si="55"/>
        <v>0.43041908121273204</v>
      </c>
      <c r="AL44" s="325">
        <f t="shared" si="55"/>
        <v>0.43041908121273204</v>
      </c>
      <c r="AM44" s="325">
        <f t="shared" si="55"/>
        <v>0.43041908121273204</v>
      </c>
      <c r="AN44" s="325">
        <f t="shared" si="55"/>
        <v>0.43041908121273204</v>
      </c>
      <c r="AO44" s="325">
        <f t="shared" si="55"/>
        <v>0.43041908121273204</v>
      </c>
      <c r="AP44" s="325">
        <f t="shared" si="55"/>
        <v>0.43041908121273204</v>
      </c>
      <c r="AQ44" s="325">
        <f t="shared" si="55"/>
        <v>0.43041908121273204</v>
      </c>
      <c r="AR44" s="325">
        <f t="shared" si="55"/>
        <v>0.43041908121273204</v>
      </c>
      <c r="AS44" s="325">
        <f t="shared" si="55"/>
        <v>0.43041908121273204</v>
      </c>
      <c r="AT44" s="287"/>
      <c r="AU44" s="293"/>
      <c r="AV44" s="293"/>
      <c r="AW44" s="293"/>
    </row>
    <row r="45" spans="1:49" s="461" customFormat="1" ht="17.25" customHeight="1">
      <c r="A45" s="501" t="s">
        <v>171</v>
      </c>
      <c r="B45" s="502">
        <v>65000</v>
      </c>
      <c r="C45" s="502">
        <v>70000</v>
      </c>
      <c r="D45" s="503">
        <v>73500</v>
      </c>
      <c r="E45" s="308"/>
      <c r="F45" s="308"/>
      <c r="G45" s="308"/>
      <c r="H45" s="307"/>
      <c r="I45" s="307"/>
      <c r="J45" s="291">
        <f>B45</f>
        <v>65000</v>
      </c>
      <c r="K45" s="291">
        <f>J45</f>
        <v>65000</v>
      </c>
      <c r="L45" s="291">
        <f t="shared" ref="L45:U45" si="56">K45</f>
        <v>65000</v>
      </c>
      <c r="M45" s="291">
        <f t="shared" si="56"/>
        <v>65000</v>
      </c>
      <c r="N45" s="291">
        <f t="shared" si="56"/>
        <v>65000</v>
      </c>
      <c r="O45" s="291">
        <f t="shared" si="56"/>
        <v>65000</v>
      </c>
      <c r="P45" s="291">
        <f t="shared" si="56"/>
        <v>65000</v>
      </c>
      <c r="Q45" s="291">
        <f t="shared" si="56"/>
        <v>65000</v>
      </c>
      <c r="R45" s="291">
        <f t="shared" si="56"/>
        <v>65000</v>
      </c>
      <c r="S45" s="291">
        <f t="shared" si="56"/>
        <v>65000</v>
      </c>
      <c r="T45" s="291">
        <f t="shared" si="56"/>
        <v>65000</v>
      </c>
      <c r="U45" s="291">
        <f t="shared" si="56"/>
        <v>65000</v>
      </c>
      <c r="V45" s="291">
        <f>C45</f>
        <v>70000</v>
      </c>
      <c r="W45" s="291">
        <f>V45</f>
        <v>70000</v>
      </c>
      <c r="X45" s="291">
        <f t="shared" ref="X45:AG45" si="57">W45</f>
        <v>70000</v>
      </c>
      <c r="Y45" s="291">
        <f t="shared" si="57"/>
        <v>70000</v>
      </c>
      <c r="Z45" s="291">
        <f t="shared" si="57"/>
        <v>70000</v>
      </c>
      <c r="AA45" s="291">
        <f t="shared" si="57"/>
        <v>70000</v>
      </c>
      <c r="AB45" s="291">
        <f t="shared" si="57"/>
        <v>70000</v>
      </c>
      <c r="AC45" s="291">
        <f t="shared" si="57"/>
        <v>70000</v>
      </c>
      <c r="AD45" s="291">
        <f t="shared" si="57"/>
        <v>70000</v>
      </c>
      <c r="AE45" s="291">
        <f t="shared" si="57"/>
        <v>70000</v>
      </c>
      <c r="AF45" s="291">
        <f t="shared" si="57"/>
        <v>70000</v>
      </c>
      <c r="AG45" s="291">
        <f t="shared" si="57"/>
        <v>70000</v>
      </c>
      <c r="AH45" s="291">
        <f>D45</f>
        <v>73500</v>
      </c>
      <c r="AI45" s="291">
        <f>AH45</f>
        <v>73500</v>
      </c>
      <c r="AJ45" s="291">
        <f t="shared" ref="AJ45:AS45" si="58">AI45</f>
        <v>73500</v>
      </c>
      <c r="AK45" s="291">
        <f t="shared" si="58"/>
        <v>73500</v>
      </c>
      <c r="AL45" s="291">
        <f t="shared" si="58"/>
        <v>73500</v>
      </c>
      <c r="AM45" s="291">
        <f t="shared" si="58"/>
        <v>73500</v>
      </c>
      <c r="AN45" s="291">
        <f t="shared" si="58"/>
        <v>73500</v>
      </c>
      <c r="AO45" s="291">
        <f t="shared" si="58"/>
        <v>73500</v>
      </c>
      <c r="AP45" s="291">
        <f t="shared" si="58"/>
        <v>73500</v>
      </c>
      <c r="AQ45" s="291">
        <f t="shared" si="58"/>
        <v>73500</v>
      </c>
      <c r="AR45" s="291">
        <f t="shared" si="58"/>
        <v>73500</v>
      </c>
      <c r="AS45" s="291">
        <f t="shared" si="58"/>
        <v>73500</v>
      </c>
      <c r="AT45" s="465"/>
    </row>
    <row r="46" spans="1:49" s="461" customFormat="1" ht="17.25" customHeight="1">
      <c r="A46" s="479" t="s">
        <v>172</v>
      </c>
      <c r="B46" s="321"/>
      <c r="C46" s="321"/>
      <c r="D46" s="321"/>
      <c r="E46" s="308">
        <f>SUMIF($J$7:$AS$7,$E$7,$J46:$AS46)</f>
        <v>1590</v>
      </c>
      <c r="F46" s="308">
        <f>SUMIF($J$7:$AS$7,$F$7,$J46:$AS46)</f>
        <v>3720</v>
      </c>
      <c r="G46" s="308">
        <f>SUMIF($J$7:$AS$7,$G$7,$J46:$AS46)</f>
        <v>4920</v>
      </c>
      <c r="H46" s="43">
        <f>IFERROR(F46/E46-1,0)</f>
        <v>1.3396226415094339</v>
      </c>
      <c r="I46" s="43">
        <f>IFERROR(G46/F46-1,0)</f>
        <v>0.32258064516129026</v>
      </c>
      <c r="J46" s="505">
        <f>ROUND(J29*2*$B$44,0)</f>
        <v>54</v>
      </c>
      <c r="K46" s="505">
        <f t="shared" ref="K46:T46" si="59">ROUND(K29*2*$B$44,0)</f>
        <v>68</v>
      </c>
      <c r="L46" s="505">
        <f t="shared" si="59"/>
        <v>95</v>
      </c>
      <c r="M46" s="505">
        <f t="shared" si="59"/>
        <v>109</v>
      </c>
      <c r="N46" s="505">
        <f t="shared" si="59"/>
        <v>136</v>
      </c>
      <c r="O46" s="505">
        <f t="shared" si="59"/>
        <v>150</v>
      </c>
      <c r="P46" s="505">
        <f t="shared" si="59"/>
        <v>163</v>
      </c>
      <c r="Q46" s="505">
        <f t="shared" si="59"/>
        <v>163</v>
      </c>
      <c r="R46" s="505">
        <f t="shared" si="59"/>
        <v>163</v>
      </c>
      <c r="S46" s="505">
        <f t="shared" si="59"/>
        <v>163</v>
      </c>
      <c r="T46" s="505">
        <f t="shared" si="59"/>
        <v>163</v>
      </c>
      <c r="U46" s="505">
        <f>ROUND(U29*2*$B$44,0)</f>
        <v>163</v>
      </c>
      <c r="V46" s="505">
        <f>ROUND(V29*2*$C$44,0)</f>
        <v>310</v>
      </c>
      <c r="W46" s="505">
        <f t="shared" ref="W46:AG46" si="60">ROUND(W29*2*$C$44,0)</f>
        <v>310</v>
      </c>
      <c r="X46" s="505">
        <f t="shared" si="60"/>
        <v>310</v>
      </c>
      <c r="Y46" s="505">
        <f t="shared" si="60"/>
        <v>310</v>
      </c>
      <c r="Z46" s="505">
        <f t="shared" si="60"/>
        <v>310</v>
      </c>
      <c r="AA46" s="505">
        <f t="shared" si="60"/>
        <v>310</v>
      </c>
      <c r="AB46" s="505">
        <f t="shared" si="60"/>
        <v>310</v>
      </c>
      <c r="AC46" s="505">
        <f t="shared" si="60"/>
        <v>310</v>
      </c>
      <c r="AD46" s="505">
        <f t="shared" si="60"/>
        <v>310</v>
      </c>
      <c r="AE46" s="505">
        <f t="shared" si="60"/>
        <v>310</v>
      </c>
      <c r="AF46" s="505">
        <f t="shared" si="60"/>
        <v>310</v>
      </c>
      <c r="AG46" s="505">
        <f t="shared" si="60"/>
        <v>310</v>
      </c>
      <c r="AH46" s="505">
        <f>ROUND(AH29*2*$D$44,0)</f>
        <v>410</v>
      </c>
      <c r="AI46" s="505">
        <f t="shared" ref="AI46:AS46" si="61">ROUND(AI29*2*$D$44,0)</f>
        <v>410</v>
      </c>
      <c r="AJ46" s="505">
        <f t="shared" si="61"/>
        <v>410</v>
      </c>
      <c r="AK46" s="505">
        <f t="shared" si="61"/>
        <v>410</v>
      </c>
      <c r="AL46" s="505">
        <f t="shared" si="61"/>
        <v>410</v>
      </c>
      <c r="AM46" s="505">
        <f t="shared" si="61"/>
        <v>410</v>
      </c>
      <c r="AN46" s="505">
        <f t="shared" si="61"/>
        <v>410</v>
      </c>
      <c r="AO46" s="505">
        <f t="shared" si="61"/>
        <v>410</v>
      </c>
      <c r="AP46" s="505">
        <f t="shared" si="61"/>
        <v>410</v>
      </c>
      <c r="AQ46" s="505">
        <f t="shared" si="61"/>
        <v>410</v>
      </c>
      <c r="AR46" s="505">
        <f t="shared" si="61"/>
        <v>410</v>
      </c>
      <c r="AS46" s="505">
        <f t="shared" si="61"/>
        <v>410</v>
      </c>
      <c r="AT46" s="465"/>
    </row>
    <row r="47" spans="1:49" s="496" customFormat="1" ht="22.35" customHeight="1">
      <c r="A47" s="469" t="s">
        <v>173</v>
      </c>
      <c r="B47" s="45">
        <f>B$45*B$27*B$29*B$44*B$21</f>
        <v>8845200</v>
      </c>
      <c r="C47" s="45">
        <f t="shared" ref="C47:D47" si="62">C$45*C$27*C$29*C$44*C$21</f>
        <v>16669800</v>
      </c>
      <c r="D47" s="45">
        <f t="shared" si="62"/>
        <v>21504042</v>
      </c>
      <c r="E47" s="296">
        <f>SUMIF($J$7:$AS$7,$E$7,$J47:$AS47)</f>
        <v>103350000</v>
      </c>
      <c r="F47" s="296">
        <f>SUMIF($J$7:$AS$7,$F$7,$J47:$AS47)</f>
        <v>260400000</v>
      </c>
      <c r="G47" s="296">
        <f>SUMIF($J$7:$AS$7,$G$7,$J47:$AS47)</f>
        <v>361620000</v>
      </c>
      <c r="H47" s="38">
        <f>IFERROR(F47/E47-1,0)</f>
        <v>1.5195936139332367</v>
      </c>
      <c r="I47" s="38">
        <f>IFERROR(G47/F47-1,0)</f>
        <v>0.3887096774193548</v>
      </c>
      <c r="J47" s="39">
        <f>J46*J45</f>
        <v>3510000</v>
      </c>
      <c r="K47" s="39">
        <f t="shared" ref="K47:AS47" si="63">K46*K45</f>
        <v>4420000</v>
      </c>
      <c r="L47" s="39">
        <f t="shared" si="63"/>
        <v>6175000</v>
      </c>
      <c r="M47" s="39">
        <f t="shared" si="63"/>
        <v>7085000</v>
      </c>
      <c r="N47" s="39">
        <f t="shared" si="63"/>
        <v>8840000</v>
      </c>
      <c r="O47" s="39">
        <f t="shared" si="63"/>
        <v>9750000</v>
      </c>
      <c r="P47" s="39">
        <f t="shared" si="63"/>
        <v>10595000</v>
      </c>
      <c r="Q47" s="39">
        <f t="shared" si="63"/>
        <v>10595000</v>
      </c>
      <c r="R47" s="39">
        <f t="shared" si="63"/>
        <v>10595000</v>
      </c>
      <c r="S47" s="39">
        <f t="shared" si="63"/>
        <v>10595000</v>
      </c>
      <c r="T47" s="39">
        <f t="shared" si="63"/>
        <v>10595000</v>
      </c>
      <c r="U47" s="39">
        <f t="shared" si="63"/>
        <v>10595000</v>
      </c>
      <c r="V47" s="39">
        <f t="shared" si="63"/>
        <v>21700000</v>
      </c>
      <c r="W47" s="39">
        <f t="shared" si="63"/>
        <v>21700000</v>
      </c>
      <c r="X47" s="39">
        <f t="shared" si="63"/>
        <v>21700000</v>
      </c>
      <c r="Y47" s="39">
        <f t="shared" si="63"/>
        <v>21700000</v>
      </c>
      <c r="Z47" s="39">
        <f t="shared" si="63"/>
        <v>21700000</v>
      </c>
      <c r="AA47" s="39">
        <f t="shared" si="63"/>
        <v>21700000</v>
      </c>
      <c r="AB47" s="39">
        <f t="shared" si="63"/>
        <v>21700000</v>
      </c>
      <c r="AC47" s="39">
        <f t="shared" si="63"/>
        <v>21700000</v>
      </c>
      <c r="AD47" s="39">
        <f t="shared" si="63"/>
        <v>21700000</v>
      </c>
      <c r="AE47" s="39">
        <f t="shared" si="63"/>
        <v>21700000</v>
      </c>
      <c r="AF47" s="39">
        <f t="shared" si="63"/>
        <v>21700000</v>
      </c>
      <c r="AG47" s="39">
        <f t="shared" si="63"/>
        <v>21700000</v>
      </c>
      <c r="AH47" s="39">
        <f t="shared" si="63"/>
        <v>30135000</v>
      </c>
      <c r="AI47" s="39">
        <f t="shared" si="63"/>
        <v>30135000</v>
      </c>
      <c r="AJ47" s="39">
        <f t="shared" si="63"/>
        <v>30135000</v>
      </c>
      <c r="AK47" s="39">
        <f t="shared" si="63"/>
        <v>30135000</v>
      </c>
      <c r="AL47" s="39">
        <f t="shared" si="63"/>
        <v>30135000</v>
      </c>
      <c r="AM47" s="39">
        <f t="shared" si="63"/>
        <v>30135000</v>
      </c>
      <c r="AN47" s="39">
        <f t="shared" si="63"/>
        <v>30135000</v>
      </c>
      <c r="AO47" s="39">
        <f t="shared" si="63"/>
        <v>30135000</v>
      </c>
      <c r="AP47" s="39">
        <f t="shared" si="63"/>
        <v>30135000</v>
      </c>
      <c r="AQ47" s="39">
        <f t="shared" si="63"/>
        <v>30135000</v>
      </c>
      <c r="AR47" s="39">
        <f t="shared" si="63"/>
        <v>30135000</v>
      </c>
      <c r="AS47" s="39">
        <f t="shared" si="63"/>
        <v>30135000</v>
      </c>
      <c r="AT47" s="297"/>
    </row>
    <row r="48" spans="1:49" ht="3.75" customHeight="1">
      <c r="A48" s="497"/>
      <c r="B48" s="288"/>
      <c r="C48" s="288"/>
      <c r="D48" s="288"/>
      <c r="E48" s="310"/>
      <c r="F48" s="310"/>
      <c r="G48" s="310"/>
      <c r="H48" s="292"/>
      <c r="I48" s="292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15"/>
      <c r="AS48" s="315"/>
      <c r="AT48" s="287"/>
      <c r="AU48" s="293"/>
      <c r="AV48" s="293"/>
      <c r="AW48" s="293"/>
    </row>
    <row r="49" spans="1:49" ht="17.25" customHeight="1">
      <c r="A49" s="469" t="s">
        <v>174</v>
      </c>
      <c r="B49" s="316"/>
      <c r="C49" s="316"/>
      <c r="D49" s="316"/>
      <c r="E49" s="317"/>
      <c r="F49" s="317"/>
      <c r="G49" s="317"/>
      <c r="H49" s="302"/>
      <c r="I49" s="302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319"/>
      <c r="AS49" s="319"/>
      <c r="AT49" s="287"/>
      <c r="AU49" s="293"/>
      <c r="AV49" s="293"/>
      <c r="AW49" s="293"/>
    </row>
    <row r="50" spans="1:49" ht="17.25" customHeight="1">
      <c r="A50" s="498" t="s">
        <v>175</v>
      </c>
      <c r="B50" s="500"/>
      <c r="C50" s="500"/>
      <c r="D50" s="500"/>
      <c r="E50" s="310"/>
      <c r="F50" s="310"/>
      <c r="G50" s="310"/>
      <c r="H50" s="292"/>
      <c r="I50" s="292"/>
      <c r="J50" s="325">
        <f>J52/(2*J30)</f>
        <v>0</v>
      </c>
      <c r="K50" s="325">
        <f t="shared" ref="K50:AS50" si="64">K52/(2*K30)</f>
        <v>0</v>
      </c>
      <c r="L50" s="325">
        <f t="shared" si="64"/>
        <v>0</v>
      </c>
      <c r="M50" s="325">
        <f t="shared" si="64"/>
        <v>0</v>
      </c>
      <c r="N50" s="325">
        <f t="shared" si="64"/>
        <v>0</v>
      </c>
      <c r="O50" s="325">
        <f t="shared" si="64"/>
        <v>0</v>
      </c>
      <c r="P50" s="325">
        <f t="shared" si="64"/>
        <v>0</v>
      </c>
      <c r="Q50" s="325">
        <f t="shared" si="64"/>
        <v>0</v>
      </c>
      <c r="R50" s="325">
        <f t="shared" si="64"/>
        <v>0</v>
      </c>
      <c r="S50" s="325">
        <f t="shared" si="64"/>
        <v>0</v>
      </c>
      <c r="T50" s="325">
        <f t="shared" si="64"/>
        <v>0</v>
      </c>
      <c r="U50" s="325">
        <f t="shared" si="64"/>
        <v>0</v>
      </c>
      <c r="V50" s="325">
        <f t="shared" si="64"/>
        <v>0</v>
      </c>
      <c r="W50" s="325">
        <f t="shared" si="64"/>
        <v>0</v>
      </c>
      <c r="X50" s="325">
        <f t="shared" si="64"/>
        <v>0</v>
      </c>
      <c r="Y50" s="325">
        <f t="shared" si="64"/>
        <v>0</v>
      </c>
      <c r="Z50" s="325">
        <f t="shared" si="64"/>
        <v>0</v>
      </c>
      <c r="AA50" s="325">
        <f t="shared" si="64"/>
        <v>0</v>
      </c>
      <c r="AB50" s="325">
        <f t="shared" si="64"/>
        <v>0</v>
      </c>
      <c r="AC50" s="325">
        <f t="shared" si="64"/>
        <v>0</v>
      </c>
      <c r="AD50" s="325">
        <f t="shared" si="64"/>
        <v>0</v>
      </c>
      <c r="AE50" s="325">
        <f t="shared" si="64"/>
        <v>0</v>
      </c>
      <c r="AF50" s="325">
        <f t="shared" si="64"/>
        <v>0</v>
      </c>
      <c r="AG50" s="325">
        <f t="shared" si="64"/>
        <v>0</v>
      </c>
      <c r="AH50" s="325">
        <f t="shared" si="64"/>
        <v>0</v>
      </c>
      <c r="AI50" s="325">
        <f t="shared" si="64"/>
        <v>0</v>
      </c>
      <c r="AJ50" s="325">
        <f t="shared" si="64"/>
        <v>0</v>
      </c>
      <c r="AK50" s="325">
        <f t="shared" si="64"/>
        <v>0</v>
      </c>
      <c r="AL50" s="325">
        <f t="shared" si="64"/>
        <v>0</v>
      </c>
      <c r="AM50" s="325">
        <f t="shared" si="64"/>
        <v>0</v>
      </c>
      <c r="AN50" s="325">
        <f t="shared" si="64"/>
        <v>0</v>
      </c>
      <c r="AO50" s="325">
        <f t="shared" si="64"/>
        <v>0</v>
      </c>
      <c r="AP50" s="325">
        <f t="shared" si="64"/>
        <v>0</v>
      </c>
      <c r="AQ50" s="325">
        <f t="shared" si="64"/>
        <v>0</v>
      </c>
      <c r="AR50" s="325">
        <f t="shared" si="64"/>
        <v>0</v>
      </c>
      <c r="AS50" s="325">
        <f t="shared" si="64"/>
        <v>0</v>
      </c>
      <c r="AT50" s="287"/>
      <c r="AU50" s="293"/>
      <c r="AV50" s="293"/>
      <c r="AW50" s="293"/>
    </row>
    <row r="51" spans="1:49" s="461" customFormat="1" ht="17.25" customHeight="1">
      <c r="A51" s="501" t="s">
        <v>176</v>
      </c>
      <c r="B51" s="503"/>
      <c r="C51" s="503"/>
      <c r="D51" s="503"/>
      <c r="E51" s="308"/>
      <c r="F51" s="308"/>
      <c r="G51" s="308"/>
      <c r="H51" s="307"/>
      <c r="I51" s="307"/>
      <c r="J51" s="291">
        <f>B51</f>
        <v>0</v>
      </c>
      <c r="K51" s="291">
        <f>J51</f>
        <v>0</v>
      </c>
      <c r="L51" s="291">
        <f t="shared" ref="L51:U51" si="65">K51</f>
        <v>0</v>
      </c>
      <c r="M51" s="291">
        <f t="shared" si="65"/>
        <v>0</v>
      </c>
      <c r="N51" s="291">
        <f t="shared" si="65"/>
        <v>0</v>
      </c>
      <c r="O51" s="291">
        <f t="shared" si="65"/>
        <v>0</v>
      </c>
      <c r="P51" s="291">
        <f t="shared" si="65"/>
        <v>0</v>
      </c>
      <c r="Q51" s="291">
        <f t="shared" si="65"/>
        <v>0</v>
      </c>
      <c r="R51" s="291">
        <f t="shared" si="65"/>
        <v>0</v>
      </c>
      <c r="S51" s="291">
        <f t="shared" si="65"/>
        <v>0</v>
      </c>
      <c r="T51" s="291">
        <f t="shared" si="65"/>
        <v>0</v>
      </c>
      <c r="U51" s="291">
        <f t="shared" si="65"/>
        <v>0</v>
      </c>
      <c r="V51" s="291">
        <f>C51</f>
        <v>0</v>
      </c>
      <c r="W51" s="291">
        <f>V51</f>
        <v>0</v>
      </c>
      <c r="X51" s="291">
        <f t="shared" ref="X51:AG51" si="66">W51</f>
        <v>0</v>
      </c>
      <c r="Y51" s="291">
        <f t="shared" si="66"/>
        <v>0</v>
      </c>
      <c r="Z51" s="291">
        <f t="shared" si="66"/>
        <v>0</v>
      </c>
      <c r="AA51" s="291">
        <f t="shared" si="66"/>
        <v>0</v>
      </c>
      <c r="AB51" s="291">
        <f t="shared" si="66"/>
        <v>0</v>
      </c>
      <c r="AC51" s="291">
        <f t="shared" si="66"/>
        <v>0</v>
      </c>
      <c r="AD51" s="291">
        <f t="shared" si="66"/>
        <v>0</v>
      </c>
      <c r="AE51" s="291">
        <f t="shared" si="66"/>
        <v>0</v>
      </c>
      <c r="AF51" s="291">
        <f t="shared" si="66"/>
        <v>0</v>
      </c>
      <c r="AG51" s="291">
        <f t="shared" si="66"/>
        <v>0</v>
      </c>
      <c r="AH51" s="291">
        <f>D51</f>
        <v>0</v>
      </c>
      <c r="AI51" s="291">
        <f>AH51</f>
        <v>0</v>
      </c>
      <c r="AJ51" s="291">
        <f t="shared" ref="AJ51:AS51" si="67">AI51</f>
        <v>0</v>
      </c>
      <c r="AK51" s="291">
        <f t="shared" si="67"/>
        <v>0</v>
      </c>
      <c r="AL51" s="291">
        <f t="shared" si="67"/>
        <v>0</v>
      </c>
      <c r="AM51" s="291">
        <f t="shared" si="67"/>
        <v>0</v>
      </c>
      <c r="AN51" s="291">
        <f t="shared" si="67"/>
        <v>0</v>
      </c>
      <c r="AO51" s="291">
        <f t="shared" si="67"/>
        <v>0</v>
      </c>
      <c r="AP51" s="291">
        <f t="shared" si="67"/>
        <v>0</v>
      </c>
      <c r="AQ51" s="291">
        <f t="shared" si="67"/>
        <v>0</v>
      </c>
      <c r="AR51" s="291">
        <f t="shared" si="67"/>
        <v>0</v>
      </c>
      <c r="AS51" s="291">
        <f t="shared" si="67"/>
        <v>0</v>
      </c>
      <c r="AT51" s="465"/>
    </row>
    <row r="52" spans="1:49" s="461" customFormat="1" ht="17.25" customHeight="1">
      <c r="A52" s="479" t="s">
        <v>177</v>
      </c>
      <c r="B52" s="321"/>
      <c r="C52" s="321"/>
      <c r="D52" s="321"/>
      <c r="E52" s="308">
        <f>SUMIF($J$7:$AS$7,$E$7,$J52:$AS52)</f>
        <v>0</v>
      </c>
      <c r="F52" s="308">
        <f>SUMIF($J$7:$AS$7,$F$7,$J52:$AS52)</f>
        <v>0</v>
      </c>
      <c r="G52" s="308">
        <f>SUMIF($J$7:$AS$7,$G$7,$J52:$AS52)</f>
        <v>0</v>
      </c>
      <c r="H52" s="43">
        <f>IFERROR(F52/E52-1,0)</f>
        <v>0</v>
      </c>
      <c r="I52" s="43">
        <f>IFERROR(G52/F52-1,0)</f>
        <v>0</v>
      </c>
      <c r="J52" s="504">
        <f>ROUND(18%*J30*2*$B$50,0)</f>
        <v>0</v>
      </c>
      <c r="K52" s="504">
        <f t="shared" ref="K52:U52" si="68">ROUND(18%*K30*2*$B$50,0)</f>
        <v>0</v>
      </c>
      <c r="L52" s="504">
        <f t="shared" si="68"/>
        <v>0</v>
      </c>
      <c r="M52" s="504">
        <f t="shared" si="68"/>
        <v>0</v>
      </c>
      <c r="N52" s="504">
        <f t="shared" si="68"/>
        <v>0</v>
      </c>
      <c r="O52" s="504">
        <f t="shared" si="68"/>
        <v>0</v>
      </c>
      <c r="P52" s="504">
        <f t="shared" si="68"/>
        <v>0</v>
      </c>
      <c r="Q52" s="504">
        <f t="shared" si="68"/>
        <v>0</v>
      </c>
      <c r="R52" s="504">
        <f t="shared" si="68"/>
        <v>0</v>
      </c>
      <c r="S52" s="504">
        <f t="shared" si="68"/>
        <v>0</v>
      </c>
      <c r="T52" s="504">
        <f t="shared" si="68"/>
        <v>0</v>
      </c>
      <c r="U52" s="504">
        <f t="shared" si="68"/>
        <v>0</v>
      </c>
      <c r="V52" s="504">
        <f>ROUND(18%*V30*2*$C$50,0)</f>
        <v>0</v>
      </c>
      <c r="W52" s="504">
        <f t="shared" ref="W52:AG52" si="69">ROUND(18%*W30*2*$C$50,0)</f>
        <v>0</v>
      </c>
      <c r="X52" s="504">
        <f t="shared" si="69"/>
        <v>0</v>
      </c>
      <c r="Y52" s="504">
        <f t="shared" si="69"/>
        <v>0</v>
      </c>
      <c r="Z52" s="504">
        <f t="shared" si="69"/>
        <v>0</v>
      </c>
      <c r="AA52" s="504">
        <f t="shared" si="69"/>
        <v>0</v>
      </c>
      <c r="AB52" s="504">
        <f t="shared" si="69"/>
        <v>0</v>
      </c>
      <c r="AC52" s="504">
        <f t="shared" si="69"/>
        <v>0</v>
      </c>
      <c r="AD52" s="504">
        <f t="shared" si="69"/>
        <v>0</v>
      </c>
      <c r="AE52" s="504">
        <f t="shared" si="69"/>
        <v>0</v>
      </c>
      <c r="AF52" s="504">
        <f t="shared" si="69"/>
        <v>0</v>
      </c>
      <c r="AG52" s="504">
        <f t="shared" si="69"/>
        <v>0</v>
      </c>
      <c r="AH52" s="504">
        <f>ROUND(18%*AH30*2*$D$50,0)</f>
        <v>0</v>
      </c>
      <c r="AI52" s="504">
        <f t="shared" ref="AI52:AS52" si="70">ROUND(18%*AI30*2*$D$50,0)</f>
        <v>0</v>
      </c>
      <c r="AJ52" s="504">
        <f t="shared" si="70"/>
        <v>0</v>
      </c>
      <c r="AK52" s="504">
        <f t="shared" si="70"/>
        <v>0</v>
      </c>
      <c r="AL52" s="504">
        <f t="shared" si="70"/>
        <v>0</v>
      </c>
      <c r="AM52" s="504">
        <f t="shared" si="70"/>
        <v>0</v>
      </c>
      <c r="AN52" s="504">
        <f t="shared" si="70"/>
        <v>0</v>
      </c>
      <c r="AO52" s="504">
        <f t="shared" si="70"/>
        <v>0</v>
      </c>
      <c r="AP52" s="504">
        <f t="shared" si="70"/>
        <v>0</v>
      </c>
      <c r="AQ52" s="504">
        <f t="shared" si="70"/>
        <v>0</v>
      </c>
      <c r="AR52" s="504">
        <f t="shared" si="70"/>
        <v>0</v>
      </c>
      <c r="AS52" s="504">
        <f t="shared" si="70"/>
        <v>0</v>
      </c>
      <c r="AT52" s="465"/>
    </row>
    <row r="53" spans="1:49" s="496" customFormat="1" ht="22.5" customHeight="1">
      <c r="A53" s="469" t="s">
        <v>178</v>
      </c>
      <c r="B53" s="45">
        <f>B$51*B$27*B$29*B$50*B$21</f>
        <v>0</v>
      </c>
      <c r="C53" s="45">
        <f t="shared" ref="C53:D53" si="71">C$51*C$27*C$29*C$50*C$21</f>
        <v>0</v>
      </c>
      <c r="D53" s="45">
        <f t="shared" si="71"/>
        <v>0</v>
      </c>
      <c r="E53" s="296">
        <f>SUMIF($J$7:$AS$7,$E$7,$J53:$AS53)</f>
        <v>0</v>
      </c>
      <c r="F53" s="296">
        <f>SUMIF($J$7:$AS$7,$F$7,$J53:$AS53)</f>
        <v>0</v>
      </c>
      <c r="G53" s="296">
        <f>SUMIF($J$7:$AS$7,$G$7,$J53:$AS53)</f>
        <v>0</v>
      </c>
      <c r="H53" s="38">
        <f>IFERROR(F53/E53-1,0)</f>
        <v>0</v>
      </c>
      <c r="I53" s="38">
        <f>IFERROR(G53/F53-1,0)</f>
        <v>0</v>
      </c>
      <c r="J53" s="39">
        <f>J52*J51</f>
        <v>0</v>
      </c>
      <c r="K53" s="39">
        <f t="shared" ref="K53:AS53" si="72">K52*K51</f>
        <v>0</v>
      </c>
      <c r="L53" s="39">
        <f t="shared" si="72"/>
        <v>0</v>
      </c>
      <c r="M53" s="39">
        <f t="shared" si="72"/>
        <v>0</v>
      </c>
      <c r="N53" s="39">
        <f t="shared" si="72"/>
        <v>0</v>
      </c>
      <c r="O53" s="39">
        <f t="shared" si="72"/>
        <v>0</v>
      </c>
      <c r="P53" s="39">
        <f t="shared" si="72"/>
        <v>0</v>
      </c>
      <c r="Q53" s="39">
        <f t="shared" si="72"/>
        <v>0</v>
      </c>
      <c r="R53" s="39">
        <f t="shared" si="72"/>
        <v>0</v>
      </c>
      <c r="S53" s="39">
        <f t="shared" si="72"/>
        <v>0</v>
      </c>
      <c r="T53" s="39">
        <f t="shared" si="72"/>
        <v>0</v>
      </c>
      <c r="U53" s="39">
        <f t="shared" si="72"/>
        <v>0</v>
      </c>
      <c r="V53" s="39">
        <f t="shared" si="72"/>
        <v>0</v>
      </c>
      <c r="W53" s="39">
        <f t="shared" si="72"/>
        <v>0</v>
      </c>
      <c r="X53" s="39">
        <f t="shared" si="72"/>
        <v>0</v>
      </c>
      <c r="Y53" s="39">
        <f t="shared" si="72"/>
        <v>0</v>
      </c>
      <c r="Z53" s="39">
        <f t="shared" si="72"/>
        <v>0</v>
      </c>
      <c r="AA53" s="39">
        <f t="shared" si="72"/>
        <v>0</v>
      </c>
      <c r="AB53" s="39">
        <f t="shared" si="72"/>
        <v>0</v>
      </c>
      <c r="AC53" s="39">
        <f t="shared" si="72"/>
        <v>0</v>
      </c>
      <c r="AD53" s="39">
        <f t="shared" si="72"/>
        <v>0</v>
      </c>
      <c r="AE53" s="39">
        <f t="shared" si="72"/>
        <v>0</v>
      </c>
      <c r="AF53" s="39">
        <f t="shared" si="72"/>
        <v>0</v>
      </c>
      <c r="AG53" s="39">
        <f t="shared" si="72"/>
        <v>0</v>
      </c>
      <c r="AH53" s="39">
        <f t="shared" si="72"/>
        <v>0</v>
      </c>
      <c r="AI53" s="39">
        <f t="shared" si="72"/>
        <v>0</v>
      </c>
      <c r="AJ53" s="39">
        <f t="shared" si="72"/>
        <v>0</v>
      </c>
      <c r="AK53" s="39">
        <f t="shared" si="72"/>
        <v>0</v>
      </c>
      <c r="AL53" s="39">
        <f t="shared" si="72"/>
        <v>0</v>
      </c>
      <c r="AM53" s="39">
        <f t="shared" si="72"/>
        <v>0</v>
      </c>
      <c r="AN53" s="39">
        <f t="shared" si="72"/>
        <v>0</v>
      </c>
      <c r="AO53" s="39">
        <f t="shared" si="72"/>
        <v>0</v>
      </c>
      <c r="AP53" s="39">
        <f t="shared" si="72"/>
        <v>0</v>
      </c>
      <c r="AQ53" s="39">
        <f t="shared" si="72"/>
        <v>0</v>
      </c>
      <c r="AR53" s="39">
        <f t="shared" si="72"/>
        <v>0</v>
      </c>
      <c r="AS53" s="39">
        <f t="shared" si="72"/>
        <v>0</v>
      </c>
      <c r="AT53" s="297"/>
    </row>
    <row r="54" spans="1:49" s="496" customFormat="1" ht="3.75" customHeight="1">
      <c r="A54" s="297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</row>
    <row r="55" spans="1:49" ht="17.25" customHeight="1">
      <c r="A55" s="469" t="s">
        <v>179</v>
      </c>
      <c r="B55" s="316"/>
      <c r="C55" s="316"/>
      <c r="D55" s="316"/>
      <c r="E55" s="317"/>
      <c r="F55" s="317"/>
      <c r="G55" s="317"/>
      <c r="H55" s="302"/>
      <c r="I55" s="302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287"/>
      <c r="AU55" s="293"/>
      <c r="AV55" s="293"/>
      <c r="AW55" s="293"/>
    </row>
    <row r="56" spans="1:49" ht="17.25" customHeight="1">
      <c r="A56" s="498" t="s">
        <v>180</v>
      </c>
      <c r="B56" s="500">
        <v>0.03</v>
      </c>
      <c r="C56" s="500">
        <v>0.03</v>
      </c>
      <c r="D56" s="500">
        <v>0.03</v>
      </c>
      <c r="E56" s="310"/>
      <c r="F56" s="310"/>
      <c r="G56" s="310"/>
      <c r="H56" s="292"/>
      <c r="I56" s="292"/>
      <c r="J56" s="325">
        <f>J58/2/J31</f>
        <v>3.306878306878306E-2</v>
      </c>
      <c r="K56" s="325">
        <f t="shared" ref="K56:AS56" si="73">K58/2/K31</f>
        <v>2.6455026455026454E-2</v>
      </c>
      <c r="L56" s="325">
        <f t="shared" si="73"/>
        <v>2.834467120181406E-2</v>
      </c>
      <c r="M56" s="325">
        <f t="shared" si="73"/>
        <v>3.306878306878306E-2</v>
      </c>
      <c r="N56" s="325">
        <f t="shared" si="73"/>
        <v>3.3068783068783067E-2</v>
      </c>
      <c r="O56" s="325">
        <f t="shared" si="73"/>
        <v>3.0062530062530058E-2</v>
      </c>
      <c r="P56" s="325">
        <f t="shared" si="73"/>
        <v>2.7557319223985893E-2</v>
      </c>
      <c r="Q56" s="325">
        <f t="shared" si="73"/>
        <v>2.7557319223985893E-2</v>
      </c>
      <c r="R56" s="325">
        <f t="shared" si="73"/>
        <v>2.7557319223985893E-2</v>
      </c>
      <c r="S56" s="325">
        <f t="shared" si="73"/>
        <v>2.7557319223985893E-2</v>
      </c>
      <c r="T56" s="325">
        <f t="shared" si="73"/>
        <v>2.7557319223985893E-2</v>
      </c>
      <c r="U56" s="325">
        <f t="shared" si="73"/>
        <v>2.7557319223985893E-2</v>
      </c>
      <c r="V56" s="325">
        <f>V58/2/V31</f>
        <v>3.0525030525030521E-2</v>
      </c>
      <c r="W56" s="325">
        <f t="shared" si="73"/>
        <v>3.0525030525030521E-2</v>
      </c>
      <c r="X56" s="325">
        <f t="shared" si="73"/>
        <v>3.0525030525030521E-2</v>
      </c>
      <c r="Y56" s="325">
        <f t="shared" si="73"/>
        <v>3.0525030525030521E-2</v>
      </c>
      <c r="Z56" s="325">
        <f t="shared" si="73"/>
        <v>3.0525030525030521E-2</v>
      </c>
      <c r="AA56" s="325">
        <f t="shared" si="73"/>
        <v>3.0525030525030521E-2</v>
      </c>
      <c r="AB56" s="325">
        <f t="shared" si="73"/>
        <v>3.0525030525030521E-2</v>
      </c>
      <c r="AC56" s="325">
        <f t="shared" si="73"/>
        <v>3.0525030525030521E-2</v>
      </c>
      <c r="AD56" s="325">
        <f t="shared" si="73"/>
        <v>3.0525030525030521E-2</v>
      </c>
      <c r="AE56" s="325">
        <f t="shared" si="73"/>
        <v>3.0525030525030521E-2</v>
      </c>
      <c r="AF56" s="325">
        <f t="shared" si="73"/>
        <v>3.0525030525030521E-2</v>
      </c>
      <c r="AG56" s="325">
        <f t="shared" si="73"/>
        <v>3.0525030525030521E-2</v>
      </c>
      <c r="AH56" s="325">
        <f t="shared" si="73"/>
        <v>3.1494079113126731E-2</v>
      </c>
      <c r="AI56" s="325">
        <f t="shared" si="73"/>
        <v>3.1494079113126731E-2</v>
      </c>
      <c r="AJ56" s="325">
        <f t="shared" si="73"/>
        <v>3.1494079113126731E-2</v>
      </c>
      <c r="AK56" s="325">
        <f t="shared" si="73"/>
        <v>3.1494079113126731E-2</v>
      </c>
      <c r="AL56" s="325">
        <f>AL58/2/AL31</f>
        <v>3.1494079113126731E-2</v>
      </c>
      <c r="AM56" s="325">
        <f t="shared" si="73"/>
        <v>3.1494079113126731E-2</v>
      </c>
      <c r="AN56" s="325">
        <f t="shared" si="73"/>
        <v>3.1494079113126731E-2</v>
      </c>
      <c r="AO56" s="325">
        <f t="shared" si="73"/>
        <v>3.1494079113126731E-2</v>
      </c>
      <c r="AP56" s="325">
        <f t="shared" si="73"/>
        <v>3.1494079113126731E-2</v>
      </c>
      <c r="AQ56" s="325">
        <f t="shared" si="73"/>
        <v>3.1494079113126731E-2</v>
      </c>
      <c r="AR56" s="325">
        <f t="shared" si="73"/>
        <v>3.1494079113126731E-2</v>
      </c>
      <c r="AS56" s="325">
        <f t="shared" si="73"/>
        <v>3.1494079113126731E-2</v>
      </c>
      <c r="AT56" s="287"/>
      <c r="AU56" s="293"/>
      <c r="AV56" s="293"/>
      <c r="AW56" s="293"/>
    </row>
    <row r="57" spans="1:49" ht="17.25" customHeight="1">
      <c r="A57" s="501" t="s">
        <v>181</v>
      </c>
      <c r="B57" s="506">
        <v>135000</v>
      </c>
      <c r="C57" s="506">
        <v>145000</v>
      </c>
      <c r="D57" s="506">
        <v>150000</v>
      </c>
      <c r="E57" s="310"/>
      <c r="F57" s="310"/>
      <c r="G57" s="310"/>
      <c r="H57" s="292"/>
      <c r="I57" s="292"/>
      <c r="J57" s="291">
        <f>B57</f>
        <v>135000</v>
      </c>
      <c r="K57" s="291">
        <f>J57</f>
        <v>135000</v>
      </c>
      <c r="L57" s="291">
        <f t="shared" ref="L57:U57" si="74">K57</f>
        <v>135000</v>
      </c>
      <c r="M57" s="291">
        <f t="shared" si="74"/>
        <v>135000</v>
      </c>
      <c r="N57" s="291">
        <f t="shared" si="74"/>
        <v>135000</v>
      </c>
      <c r="O57" s="291">
        <f t="shared" si="74"/>
        <v>135000</v>
      </c>
      <c r="P57" s="291">
        <f t="shared" si="74"/>
        <v>135000</v>
      </c>
      <c r="Q57" s="291">
        <f t="shared" si="74"/>
        <v>135000</v>
      </c>
      <c r="R57" s="291">
        <f t="shared" si="74"/>
        <v>135000</v>
      </c>
      <c r="S57" s="291">
        <f t="shared" si="74"/>
        <v>135000</v>
      </c>
      <c r="T57" s="291">
        <f t="shared" si="74"/>
        <v>135000</v>
      </c>
      <c r="U57" s="291">
        <f t="shared" si="74"/>
        <v>135000</v>
      </c>
      <c r="V57" s="291">
        <f>C57</f>
        <v>145000</v>
      </c>
      <c r="W57" s="291">
        <f>V57</f>
        <v>145000</v>
      </c>
      <c r="X57" s="291">
        <f t="shared" ref="X57:AG57" si="75">W57</f>
        <v>145000</v>
      </c>
      <c r="Y57" s="291">
        <f t="shared" si="75"/>
        <v>145000</v>
      </c>
      <c r="Z57" s="291">
        <f t="shared" si="75"/>
        <v>145000</v>
      </c>
      <c r="AA57" s="291">
        <f t="shared" si="75"/>
        <v>145000</v>
      </c>
      <c r="AB57" s="291">
        <f t="shared" si="75"/>
        <v>145000</v>
      </c>
      <c r="AC57" s="291">
        <f t="shared" si="75"/>
        <v>145000</v>
      </c>
      <c r="AD57" s="291">
        <f t="shared" si="75"/>
        <v>145000</v>
      </c>
      <c r="AE57" s="291">
        <f t="shared" si="75"/>
        <v>145000</v>
      </c>
      <c r="AF57" s="291">
        <f t="shared" si="75"/>
        <v>145000</v>
      </c>
      <c r="AG57" s="291">
        <f t="shared" si="75"/>
        <v>145000</v>
      </c>
      <c r="AH57" s="291">
        <f>D57</f>
        <v>150000</v>
      </c>
      <c r="AI57" s="291">
        <f>AH57</f>
        <v>150000</v>
      </c>
      <c r="AJ57" s="291">
        <f t="shared" ref="AJ57:AS57" si="76">AI57</f>
        <v>150000</v>
      </c>
      <c r="AK57" s="291">
        <f t="shared" si="76"/>
        <v>150000</v>
      </c>
      <c r="AL57" s="291">
        <f t="shared" si="76"/>
        <v>150000</v>
      </c>
      <c r="AM57" s="291">
        <f t="shared" si="76"/>
        <v>150000</v>
      </c>
      <c r="AN57" s="291">
        <f t="shared" si="76"/>
        <v>150000</v>
      </c>
      <c r="AO57" s="291">
        <f t="shared" si="76"/>
        <v>150000</v>
      </c>
      <c r="AP57" s="291">
        <f t="shared" si="76"/>
        <v>150000</v>
      </c>
      <c r="AQ57" s="291">
        <f t="shared" si="76"/>
        <v>150000</v>
      </c>
      <c r="AR57" s="291">
        <f t="shared" si="76"/>
        <v>150000</v>
      </c>
      <c r="AS57" s="291">
        <f t="shared" si="76"/>
        <v>150000</v>
      </c>
      <c r="AT57" s="287"/>
      <c r="AU57" s="293"/>
      <c r="AV57" s="293"/>
      <c r="AW57" s="293"/>
    </row>
    <row r="58" spans="1:49" ht="17.25" customHeight="1">
      <c r="A58" s="479" t="s">
        <v>182</v>
      </c>
      <c r="B58" s="288"/>
      <c r="C58" s="288"/>
      <c r="D58" s="288"/>
      <c r="E58" s="310">
        <f>SUMIF($J$7:$AS$7,$E$7,$J58:$AS58)</f>
        <v>51</v>
      </c>
      <c r="F58" s="310">
        <f>SUMIF($J$7:$AS$7,$F$7,$J58:$AS58)</f>
        <v>108</v>
      </c>
      <c r="G58" s="310">
        <f>SUMIF($J$7:$AS$7,$G$7,$J58:$AS58)</f>
        <v>120</v>
      </c>
      <c r="H58" s="41">
        <f>IFERROR(F58/E58-1,0)</f>
        <v>1.1176470588235294</v>
      </c>
      <c r="I58" s="41">
        <f>IFERROR(G58/F58-1,0)</f>
        <v>0.11111111111111116</v>
      </c>
      <c r="J58" s="327">
        <f>ROUND(J31*2*$B$56,0)</f>
        <v>2</v>
      </c>
      <c r="K58" s="291">
        <f t="shared" ref="K58:U58" si="77">ROUND(K31*2*$B$56,0)</f>
        <v>2</v>
      </c>
      <c r="L58" s="291">
        <f t="shared" si="77"/>
        <v>3</v>
      </c>
      <c r="M58" s="291">
        <f t="shared" si="77"/>
        <v>4</v>
      </c>
      <c r="N58" s="291">
        <f t="shared" si="77"/>
        <v>5</v>
      </c>
      <c r="O58" s="291">
        <f t="shared" si="77"/>
        <v>5</v>
      </c>
      <c r="P58" s="291">
        <f t="shared" si="77"/>
        <v>5</v>
      </c>
      <c r="Q58" s="291">
        <f t="shared" si="77"/>
        <v>5</v>
      </c>
      <c r="R58" s="291">
        <f t="shared" si="77"/>
        <v>5</v>
      </c>
      <c r="S58" s="291">
        <f t="shared" si="77"/>
        <v>5</v>
      </c>
      <c r="T58" s="291">
        <f t="shared" si="77"/>
        <v>5</v>
      </c>
      <c r="U58" s="291">
        <f t="shared" si="77"/>
        <v>5</v>
      </c>
      <c r="V58" s="291">
        <f>ROUND(V31*2*$C$56,0)</f>
        <v>9</v>
      </c>
      <c r="W58" s="291">
        <f t="shared" ref="W58:AG58" si="78">ROUND(W31*2*$C$56,0)</f>
        <v>9</v>
      </c>
      <c r="X58" s="291">
        <f t="shared" si="78"/>
        <v>9</v>
      </c>
      <c r="Y58" s="291">
        <f t="shared" si="78"/>
        <v>9</v>
      </c>
      <c r="Z58" s="291">
        <f t="shared" si="78"/>
        <v>9</v>
      </c>
      <c r="AA58" s="291">
        <f t="shared" si="78"/>
        <v>9</v>
      </c>
      <c r="AB58" s="291">
        <f t="shared" si="78"/>
        <v>9</v>
      </c>
      <c r="AC58" s="291">
        <f t="shared" si="78"/>
        <v>9</v>
      </c>
      <c r="AD58" s="291">
        <f t="shared" si="78"/>
        <v>9</v>
      </c>
      <c r="AE58" s="291">
        <f t="shared" si="78"/>
        <v>9</v>
      </c>
      <c r="AF58" s="291">
        <f t="shared" si="78"/>
        <v>9</v>
      </c>
      <c r="AG58" s="291">
        <f t="shared" si="78"/>
        <v>9</v>
      </c>
      <c r="AH58" s="291">
        <f>ROUND(AH31*2*$D$56,0)</f>
        <v>10</v>
      </c>
      <c r="AI58" s="291">
        <f t="shared" ref="AI58:AS58" si="79">ROUND(AI31*2*$D$56,0)</f>
        <v>10</v>
      </c>
      <c r="AJ58" s="291">
        <f t="shared" si="79"/>
        <v>10</v>
      </c>
      <c r="AK58" s="291">
        <f t="shared" si="79"/>
        <v>10</v>
      </c>
      <c r="AL58" s="291">
        <f>ROUND(AL31*2*$D$56,0)</f>
        <v>10</v>
      </c>
      <c r="AM58" s="291">
        <f t="shared" si="79"/>
        <v>10</v>
      </c>
      <c r="AN58" s="291">
        <f t="shared" si="79"/>
        <v>10</v>
      </c>
      <c r="AO58" s="291">
        <f t="shared" si="79"/>
        <v>10</v>
      </c>
      <c r="AP58" s="291">
        <f t="shared" si="79"/>
        <v>10</v>
      </c>
      <c r="AQ58" s="291">
        <f t="shared" si="79"/>
        <v>10</v>
      </c>
      <c r="AR58" s="291">
        <f t="shared" si="79"/>
        <v>10</v>
      </c>
      <c r="AS58" s="291">
        <f t="shared" si="79"/>
        <v>10</v>
      </c>
      <c r="AT58" s="287"/>
      <c r="AU58" s="293"/>
      <c r="AV58" s="293"/>
      <c r="AW58" s="293"/>
    </row>
    <row r="59" spans="1:49" s="496" customFormat="1" ht="22.5" customHeight="1">
      <c r="A59" s="469" t="s">
        <v>183</v>
      </c>
      <c r="B59" s="45">
        <f>B$57*B$27*B$29*B$56*B$21</f>
        <v>1837080</v>
      </c>
      <c r="C59" s="45">
        <f>C$57*C$27*C$29*C$56*C$21</f>
        <v>2959740</v>
      </c>
      <c r="D59" s="45">
        <f>D$57*D$27*D$29*D$56*D$21</f>
        <v>3061800</v>
      </c>
      <c r="E59" s="296">
        <f>SUMIF($J$7:$AS$7,$E$7,$J59:$AS59)</f>
        <v>6885000</v>
      </c>
      <c r="F59" s="296">
        <f>SUMIF($J$7:$AS$7,$F$7,$J59:$AS59)</f>
        <v>15660000</v>
      </c>
      <c r="G59" s="296">
        <f>SUMIF($J$7:$AS$7,$G$7,$J59:$AS59)</f>
        <v>18000000</v>
      </c>
      <c r="H59" s="38">
        <f>IFERROR(F59/E59-1,0)</f>
        <v>1.2745098039215685</v>
      </c>
      <c r="I59" s="38">
        <f>IFERROR(G59/F59-1,0)</f>
        <v>0.14942528735632177</v>
      </c>
      <c r="J59" s="39">
        <f>J58*J57</f>
        <v>270000</v>
      </c>
      <c r="K59" s="39">
        <f t="shared" ref="K59:AS59" si="80">K58*K57</f>
        <v>270000</v>
      </c>
      <c r="L59" s="39">
        <f t="shared" si="80"/>
        <v>405000</v>
      </c>
      <c r="M59" s="39">
        <f t="shared" si="80"/>
        <v>540000</v>
      </c>
      <c r="N59" s="39">
        <f t="shared" si="80"/>
        <v>675000</v>
      </c>
      <c r="O59" s="39">
        <f t="shared" si="80"/>
        <v>675000</v>
      </c>
      <c r="P59" s="39">
        <f t="shared" si="80"/>
        <v>675000</v>
      </c>
      <c r="Q59" s="39">
        <f t="shared" si="80"/>
        <v>675000</v>
      </c>
      <c r="R59" s="39">
        <f t="shared" si="80"/>
        <v>675000</v>
      </c>
      <c r="S59" s="39">
        <f t="shared" si="80"/>
        <v>675000</v>
      </c>
      <c r="T59" s="39">
        <f t="shared" si="80"/>
        <v>675000</v>
      </c>
      <c r="U59" s="39">
        <f t="shared" si="80"/>
        <v>675000</v>
      </c>
      <c r="V59" s="39">
        <f t="shared" si="80"/>
        <v>1305000</v>
      </c>
      <c r="W59" s="39">
        <f t="shared" si="80"/>
        <v>1305000</v>
      </c>
      <c r="X59" s="39">
        <f t="shared" si="80"/>
        <v>1305000</v>
      </c>
      <c r="Y59" s="39">
        <f t="shared" si="80"/>
        <v>1305000</v>
      </c>
      <c r="Z59" s="39">
        <f t="shared" si="80"/>
        <v>1305000</v>
      </c>
      <c r="AA59" s="39">
        <f t="shared" si="80"/>
        <v>1305000</v>
      </c>
      <c r="AB59" s="39">
        <f t="shared" si="80"/>
        <v>1305000</v>
      </c>
      <c r="AC59" s="39">
        <f t="shared" si="80"/>
        <v>1305000</v>
      </c>
      <c r="AD59" s="39">
        <f t="shared" si="80"/>
        <v>1305000</v>
      </c>
      <c r="AE59" s="39">
        <f t="shared" si="80"/>
        <v>1305000</v>
      </c>
      <c r="AF59" s="39">
        <f t="shared" si="80"/>
        <v>1305000</v>
      </c>
      <c r="AG59" s="39">
        <f t="shared" si="80"/>
        <v>1305000</v>
      </c>
      <c r="AH59" s="39">
        <f t="shared" si="80"/>
        <v>1500000</v>
      </c>
      <c r="AI59" s="39">
        <f t="shared" si="80"/>
        <v>1500000</v>
      </c>
      <c r="AJ59" s="39">
        <f t="shared" si="80"/>
        <v>1500000</v>
      </c>
      <c r="AK59" s="39">
        <f t="shared" si="80"/>
        <v>1500000</v>
      </c>
      <c r="AL59" s="39">
        <f t="shared" si="80"/>
        <v>1500000</v>
      </c>
      <c r="AM59" s="39">
        <f t="shared" si="80"/>
        <v>1500000</v>
      </c>
      <c r="AN59" s="39">
        <f t="shared" si="80"/>
        <v>1500000</v>
      </c>
      <c r="AO59" s="39">
        <f t="shared" si="80"/>
        <v>1500000</v>
      </c>
      <c r="AP59" s="39">
        <f t="shared" si="80"/>
        <v>1500000</v>
      </c>
      <c r="AQ59" s="39">
        <f t="shared" si="80"/>
        <v>1500000</v>
      </c>
      <c r="AR59" s="39">
        <f t="shared" si="80"/>
        <v>1500000</v>
      </c>
      <c r="AS59" s="39">
        <f t="shared" si="80"/>
        <v>1500000</v>
      </c>
      <c r="AT59" s="297"/>
    </row>
    <row r="60" spans="1:49" s="496" customFormat="1" ht="5.25" customHeight="1">
      <c r="A60" s="297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</row>
    <row r="61" spans="1:49" ht="17.25" customHeight="1">
      <c r="A61" s="469" t="s">
        <v>184</v>
      </c>
      <c r="B61" s="316"/>
      <c r="C61" s="316"/>
      <c r="D61" s="316"/>
      <c r="E61" s="317"/>
      <c r="F61" s="317"/>
      <c r="G61" s="317"/>
      <c r="H61" s="302"/>
      <c r="I61" s="302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  <c r="AQ61" s="319"/>
      <c r="AR61" s="319"/>
      <c r="AS61" s="319"/>
      <c r="AT61" s="287"/>
      <c r="AU61" s="293"/>
      <c r="AV61" s="293"/>
      <c r="AW61" s="293"/>
    </row>
    <row r="62" spans="1:49" ht="17.25" customHeight="1">
      <c r="A62" s="287" t="s">
        <v>185</v>
      </c>
      <c r="B62" s="287"/>
      <c r="C62" s="287"/>
      <c r="D62" s="287"/>
      <c r="E62" s="310">
        <f>SUMIF($J$7:$AS$7,$E$7,$J62:$AS62)</f>
        <v>19180</v>
      </c>
      <c r="F62" s="310">
        <f>SUMIF($J$7:$AS$7,$F$7,$J62:$AS62)</f>
        <v>38388</v>
      </c>
      <c r="G62" s="310">
        <f>SUMIF($J$7:$AS$7,$G$7,$J62:$AS62)</f>
        <v>41328</v>
      </c>
      <c r="H62" s="41">
        <f>IFERROR(F62/E62-1,0)</f>
        <v>1.0014598540145987</v>
      </c>
      <c r="I62" s="41">
        <f>IFERROR(G62/F62-1,0)</f>
        <v>7.6586433260393827E-2</v>
      </c>
      <c r="J62" s="315">
        <f t="shared" ref="J62:AS62" si="81">J63*J64</f>
        <v>658</v>
      </c>
      <c r="K62" s="315">
        <f t="shared" si="81"/>
        <v>819</v>
      </c>
      <c r="L62" s="315">
        <f t="shared" si="81"/>
        <v>1148</v>
      </c>
      <c r="M62" s="315">
        <f t="shared" si="81"/>
        <v>1309</v>
      </c>
      <c r="N62" s="315">
        <f t="shared" si="81"/>
        <v>1638</v>
      </c>
      <c r="O62" s="315">
        <f t="shared" si="81"/>
        <v>1806</v>
      </c>
      <c r="P62" s="315">
        <f t="shared" si="81"/>
        <v>1967</v>
      </c>
      <c r="Q62" s="315">
        <f t="shared" si="81"/>
        <v>1967</v>
      </c>
      <c r="R62" s="315">
        <f t="shared" si="81"/>
        <v>1967</v>
      </c>
      <c r="S62" s="315">
        <f t="shared" si="81"/>
        <v>1967</v>
      </c>
      <c r="T62" s="315">
        <f t="shared" si="81"/>
        <v>1967</v>
      </c>
      <c r="U62" s="315">
        <f t="shared" si="81"/>
        <v>1967</v>
      </c>
      <c r="V62" s="315">
        <f t="shared" si="81"/>
        <v>3199</v>
      </c>
      <c r="W62" s="315">
        <f t="shared" si="81"/>
        <v>3199</v>
      </c>
      <c r="X62" s="315">
        <f t="shared" si="81"/>
        <v>3199</v>
      </c>
      <c r="Y62" s="315">
        <f t="shared" si="81"/>
        <v>3199</v>
      </c>
      <c r="Z62" s="315">
        <f t="shared" si="81"/>
        <v>3199</v>
      </c>
      <c r="AA62" s="315">
        <f t="shared" si="81"/>
        <v>3199</v>
      </c>
      <c r="AB62" s="315">
        <f t="shared" si="81"/>
        <v>3199</v>
      </c>
      <c r="AC62" s="315">
        <f t="shared" si="81"/>
        <v>3199</v>
      </c>
      <c r="AD62" s="315">
        <f t="shared" si="81"/>
        <v>3199</v>
      </c>
      <c r="AE62" s="315">
        <f t="shared" si="81"/>
        <v>3199</v>
      </c>
      <c r="AF62" s="315">
        <f t="shared" si="81"/>
        <v>3199</v>
      </c>
      <c r="AG62" s="315">
        <f t="shared" si="81"/>
        <v>3199</v>
      </c>
      <c r="AH62" s="315">
        <f t="shared" si="81"/>
        <v>3444</v>
      </c>
      <c r="AI62" s="315">
        <f t="shared" si="81"/>
        <v>3444</v>
      </c>
      <c r="AJ62" s="315">
        <f t="shared" si="81"/>
        <v>3444</v>
      </c>
      <c r="AK62" s="315">
        <f t="shared" si="81"/>
        <v>3444</v>
      </c>
      <c r="AL62" s="315">
        <f t="shared" si="81"/>
        <v>3444</v>
      </c>
      <c r="AM62" s="315">
        <f t="shared" si="81"/>
        <v>3444</v>
      </c>
      <c r="AN62" s="315">
        <f t="shared" si="81"/>
        <v>3444</v>
      </c>
      <c r="AO62" s="315">
        <f t="shared" si="81"/>
        <v>3444</v>
      </c>
      <c r="AP62" s="315">
        <f t="shared" si="81"/>
        <v>3444</v>
      </c>
      <c r="AQ62" s="315">
        <f t="shared" si="81"/>
        <v>3444</v>
      </c>
      <c r="AR62" s="315">
        <f t="shared" si="81"/>
        <v>3444</v>
      </c>
      <c r="AS62" s="315">
        <f t="shared" si="81"/>
        <v>3444</v>
      </c>
      <c r="AT62" s="287"/>
      <c r="AU62" s="293"/>
      <c r="AV62" s="293"/>
      <c r="AW62" s="293"/>
    </row>
    <row r="63" spans="1:49" ht="17.25" customHeight="1">
      <c r="A63" s="501" t="s">
        <v>186</v>
      </c>
      <c r="B63" s="287"/>
      <c r="C63" s="287"/>
      <c r="D63" s="287"/>
      <c r="E63" s="308">
        <f>SUMIF($J$7:$AS$7,$E$7,$J63:$AS63)</f>
        <v>2740</v>
      </c>
      <c r="F63" s="308">
        <f>SUMIF($J$7:$AS$7,$F$7,$J63:$AS63)</f>
        <v>5484</v>
      </c>
      <c r="G63" s="308">
        <f>SUMIF($J$7:$AS$7,$G$7,$J63:$AS63)</f>
        <v>5904</v>
      </c>
      <c r="H63" s="43">
        <f>IFERROR(F63/E63-1,0)</f>
        <v>1.0014598540145987</v>
      </c>
      <c r="I63" s="43">
        <f>IFERROR(G63/F63-1,0)</f>
        <v>7.6586433260393827E-2</v>
      </c>
      <c r="J63" s="322">
        <f>ROUND(J28*$B$65,0)</f>
        <v>94</v>
      </c>
      <c r="K63" s="322">
        <f t="shared" ref="K63:U63" si="82">ROUND(K28*$B$65,0)</f>
        <v>117</v>
      </c>
      <c r="L63" s="322">
        <f t="shared" si="82"/>
        <v>164</v>
      </c>
      <c r="M63" s="322">
        <f t="shared" si="82"/>
        <v>187</v>
      </c>
      <c r="N63" s="322">
        <f t="shared" si="82"/>
        <v>234</v>
      </c>
      <c r="O63" s="322">
        <f t="shared" si="82"/>
        <v>258</v>
      </c>
      <c r="P63" s="322">
        <f t="shared" si="82"/>
        <v>281</v>
      </c>
      <c r="Q63" s="322">
        <f t="shared" si="82"/>
        <v>281</v>
      </c>
      <c r="R63" s="322">
        <f t="shared" si="82"/>
        <v>281</v>
      </c>
      <c r="S63" s="322">
        <f t="shared" si="82"/>
        <v>281</v>
      </c>
      <c r="T63" s="322">
        <f t="shared" si="82"/>
        <v>281</v>
      </c>
      <c r="U63" s="322">
        <f t="shared" si="82"/>
        <v>281</v>
      </c>
      <c r="V63" s="322">
        <f t="shared" ref="V63:AG63" si="83">ROUND(V28*$C$65,0)</f>
        <v>457</v>
      </c>
      <c r="W63" s="322">
        <f t="shared" si="83"/>
        <v>457</v>
      </c>
      <c r="X63" s="322">
        <f t="shared" si="83"/>
        <v>457</v>
      </c>
      <c r="Y63" s="322">
        <f t="shared" si="83"/>
        <v>457</v>
      </c>
      <c r="Z63" s="322">
        <f t="shared" si="83"/>
        <v>457</v>
      </c>
      <c r="AA63" s="322">
        <f t="shared" si="83"/>
        <v>457</v>
      </c>
      <c r="AB63" s="322">
        <f t="shared" si="83"/>
        <v>457</v>
      </c>
      <c r="AC63" s="322">
        <f t="shared" si="83"/>
        <v>457</v>
      </c>
      <c r="AD63" s="322">
        <f t="shared" si="83"/>
        <v>457</v>
      </c>
      <c r="AE63" s="322">
        <f t="shared" si="83"/>
        <v>457</v>
      </c>
      <c r="AF63" s="322">
        <f t="shared" si="83"/>
        <v>457</v>
      </c>
      <c r="AG63" s="322">
        <f t="shared" si="83"/>
        <v>457</v>
      </c>
      <c r="AH63" s="322">
        <f t="shared" ref="AH63:AS63" si="84">ROUND(AH28*$D$65,0)</f>
        <v>492</v>
      </c>
      <c r="AI63" s="322">
        <f t="shared" si="84"/>
        <v>492</v>
      </c>
      <c r="AJ63" s="322">
        <f t="shared" si="84"/>
        <v>492</v>
      </c>
      <c r="AK63" s="322">
        <f t="shared" si="84"/>
        <v>492</v>
      </c>
      <c r="AL63" s="322">
        <f t="shared" si="84"/>
        <v>492</v>
      </c>
      <c r="AM63" s="322">
        <f t="shared" si="84"/>
        <v>492</v>
      </c>
      <c r="AN63" s="322">
        <f t="shared" si="84"/>
        <v>492</v>
      </c>
      <c r="AO63" s="322">
        <f t="shared" si="84"/>
        <v>492</v>
      </c>
      <c r="AP63" s="322">
        <f t="shared" si="84"/>
        <v>492</v>
      </c>
      <c r="AQ63" s="322">
        <f t="shared" si="84"/>
        <v>492</v>
      </c>
      <c r="AR63" s="322">
        <f t="shared" si="84"/>
        <v>492</v>
      </c>
      <c r="AS63" s="322">
        <f t="shared" si="84"/>
        <v>492</v>
      </c>
      <c r="AT63" s="287"/>
      <c r="AU63" s="293"/>
      <c r="AV63" s="293"/>
      <c r="AW63" s="293"/>
    </row>
    <row r="64" spans="1:49" ht="17.25" customHeight="1">
      <c r="A64" s="501" t="s">
        <v>187</v>
      </c>
      <c r="B64" s="507">
        <v>7</v>
      </c>
      <c r="C64" s="507">
        <v>7</v>
      </c>
      <c r="D64" s="507">
        <v>7</v>
      </c>
      <c r="E64" s="287"/>
      <c r="F64" s="287"/>
      <c r="G64" s="287"/>
      <c r="H64" s="287"/>
      <c r="I64" s="287"/>
      <c r="J64" s="291">
        <f t="shared" ref="J64:U64" si="85">$B$64</f>
        <v>7</v>
      </c>
      <c r="K64" s="291">
        <f t="shared" si="85"/>
        <v>7</v>
      </c>
      <c r="L64" s="291">
        <f t="shared" si="85"/>
        <v>7</v>
      </c>
      <c r="M64" s="291">
        <f t="shared" si="85"/>
        <v>7</v>
      </c>
      <c r="N64" s="291">
        <f t="shared" si="85"/>
        <v>7</v>
      </c>
      <c r="O64" s="291">
        <f t="shared" si="85"/>
        <v>7</v>
      </c>
      <c r="P64" s="291">
        <f t="shared" si="85"/>
        <v>7</v>
      </c>
      <c r="Q64" s="291">
        <f t="shared" si="85"/>
        <v>7</v>
      </c>
      <c r="R64" s="291">
        <f t="shared" si="85"/>
        <v>7</v>
      </c>
      <c r="S64" s="291">
        <f t="shared" si="85"/>
        <v>7</v>
      </c>
      <c r="T64" s="291">
        <f t="shared" si="85"/>
        <v>7</v>
      </c>
      <c r="U64" s="291">
        <f t="shared" si="85"/>
        <v>7</v>
      </c>
      <c r="V64" s="291">
        <f t="shared" ref="V64:AG64" si="86">$C$64</f>
        <v>7</v>
      </c>
      <c r="W64" s="291">
        <f t="shared" si="86"/>
        <v>7</v>
      </c>
      <c r="X64" s="291">
        <f t="shared" si="86"/>
        <v>7</v>
      </c>
      <c r="Y64" s="291">
        <f t="shared" si="86"/>
        <v>7</v>
      </c>
      <c r="Z64" s="291">
        <f t="shared" si="86"/>
        <v>7</v>
      </c>
      <c r="AA64" s="291">
        <f t="shared" si="86"/>
        <v>7</v>
      </c>
      <c r="AB64" s="291">
        <f t="shared" si="86"/>
        <v>7</v>
      </c>
      <c r="AC64" s="291">
        <f t="shared" si="86"/>
        <v>7</v>
      </c>
      <c r="AD64" s="291">
        <f t="shared" si="86"/>
        <v>7</v>
      </c>
      <c r="AE64" s="291">
        <f t="shared" si="86"/>
        <v>7</v>
      </c>
      <c r="AF64" s="291">
        <f t="shared" si="86"/>
        <v>7</v>
      </c>
      <c r="AG64" s="291">
        <f t="shared" si="86"/>
        <v>7</v>
      </c>
      <c r="AH64" s="291">
        <f t="shared" ref="AH64:AS64" si="87">$D$64</f>
        <v>7</v>
      </c>
      <c r="AI64" s="291">
        <f t="shared" si="87"/>
        <v>7</v>
      </c>
      <c r="AJ64" s="291">
        <f t="shared" si="87"/>
        <v>7</v>
      </c>
      <c r="AK64" s="291">
        <f t="shared" si="87"/>
        <v>7</v>
      </c>
      <c r="AL64" s="291">
        <f t="shared" si="87"/>
        <v>7</v>
      </c>
      <c r="AM64" s="291">
        <f t="shared" si="87"/>
        <v>7</v>
      </c>
      <c r="AN64" s="291">
        <f t="shared" si="87"/>
        <v>7</v>
      </c>
      <c r="AO64" s="291">
        <f t="shared" si="87"/>
        <v>7</v>
      </c>
      <c r="AP64" s="291">
        <f t="shared" si="87"/>
        <v>7</v>
      </c>
      <c r="AQ64" s="291">
        <f t="shared" si="87"/>
        <v>7</v>
      </c>
      <c r="AR64" s="291">
        <f t="shared" si="87"/>
        <v>7</v>
      </c>
      <c r="AS64" s="291">
        <f t="shared" si="87"/>
        <v>7</v>
      </c>
      <c r="AT64" s="287"/>
      <c r="AU64" s="293"/>
      <c r="AV64" s="293"/>
      <c r="AW64" s="293"/>
    </row>
    <row r="65" spans="1:49" ht="17.25" customHeight="1">
      <c r="A65" s="501" t="s">
        <v>188</v>
      </c>
      <c r="B65" s="488">
        <v>0.62</v>
      </c>
      <c r="C65" s="488">
        <v>0.62</v>
      </c>
      <c r="D65" s="488">
        <v>0.62</v>
      </c>
      <c r="E65" s="287"/>
      <c r="F65" s="287"/>
      <c r="G65" s="287"/>
      <c r="H65" s="287"/>
      <c r="I65" s="287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  <c r="AO65" s="293"/>
      <c r="AP65" s="293"/>
      <c r="AQ65" s="293"/>
      <c r="AR65" s="293"/>
      <c r="AS65" s="293"/>
      <c r="AT65" s="287"/>
      <c r="AU65" s="293"/>
      <c r="AV65" s="293"/>
      <c r="AW65" s="293"/>
    </row>
    <row r="66" spans="1:49" ht="17.25" customHeight="1">
      <c r="A66" s="287" t="s">
        <v>189</v>
      </c>
      <c r="B66" s="287"/>
      <c r="C66" s="287"/>
      <c r="D66" s="287"/>
      <c r="E66" s="287"/>
      <c r="F66" s="287"/>
      <c r="G66" s="287"/>
      <c r="H66" s="287"/>
      <c r="I66" s="287"/>
      <c r="J66" s="315">
        <f t="shared" ref="J66:AS66" si="88">J68*J67</f>
        <v>187500</v>
      </c>
      <c r="K66" s="315">
        <f t="shared" si="88"/>
        <v>312500</v>
      </c>
      <c r="L66" s="315">
        <f t="shared" si="88"/>
        <v>437500</v>
      </c>
      <c r="M66" s="315">
        <f t="shared" si="88"/>
        <v>562500</v>
      </c>
      <c r="N66" s="315">
        <f t="shared" si="88"/>
        <v>562500</v>
      </c>
      <c r="O66" s="315">
        <f t="shared" si="88"/>
        <v>562500</v>
      </c>
      <c r="P66" s="315">
        <f t="shared" si="88"/>
        <v>750000</v>
      </c>
      <c r="Q66" s="315">
        <f t="shared" si="88"/>
        <v>750000</v>
      </c>
      <c r="R66" s="315">
        <f t="shared" si="88"/>
        <v>875000</v>
      </c>
      <c r="S66" s="315">
        <f t="shared" si="88"/>
        <v>875000</v>
      </c>
      <c r="T66" s="315">
        <f t="shared" si="88"/>
        <v>937500</v>
      </c>
      <c r="U66" s="315">
        <f t="shared" si="88"/>
        <v>937500</v>
      </c>
      <c r="V66" s="315">
        <f t="shared" si="88"/>
        <v>975000</v>
      </c>
      <c r="W66" s="315">
        <f t="shared" si="88"/>
        <v>975000</v>
      </c>
      <c r="X66" s="315">
        <f t="shared" si="88"/>
        <v>975000</v>
      </c>
      <c r="Y66" s="315">
        <f t="shared" si="88"/>
        <v>975000</v>
      </c>
      <c r="Z66" s="315">
        <f t="shared" si="88"/>
        <v>975000</v>
      </c>
      <c r="AA66" s="315">
        <f t="shared" si="88"/>
        <v>1105000</v>
      </c>
      <c r="AB66" s="315">
        <f t="shared" si="88"/>
        <v>1105000</v>
      </c>
      <c r="AC66" s="315">
        <f t="shared" si="88"/>
        <v>1105000</v>
      </c>
      <c r="AD66" s="315">
        <f t="shared" si="88"/>
        <v>1105000</v>
      </c>
      <c r="AE66" s="315">
        <f t="shared" si="88"/>
        <v>1105000</v>
      </c>
      <c r="AF66" s="315">
        <f t="shared" si="88"/>
        <v>1105000</v>
      </c>
      <c r="AG66" s="315">
        <f t="shared" si="88"/>
        <v>1105000</v>
      </c>
      <c r="AH66" s="315">
        <f t="shared" si="88"/>
        <v>1170000</v>
      </c>
      <c r="AI66" s="315">
        <f t="shared" si="88"/>
        <v>1170000</v>
      </c>
      <c r="AJ66" s="315">
        <f t="shared" si="88"/>
        <v>1170000</v>
      </c>
      <c r="AK66" s="315">
        <f t="shared" si="88"/>
        <v>1170000</v>
      </c>
      <c r="AL66" s="315">
        <f t="shared" si="88"/>
        <v>1170000</v>
      </c>
      <c r="AM66" s="315">
        <f t="shared" si="88"/>
        <v>1170000</v>
      </c>
      <c r="AN66" s="315">
        <f t="shared" si="88"/>
        <v>1170000</v>
      </c>
      <c r="AO66" s="315">
        <f t="shared" si="88"/>
        <v>1170000</v>
      </c>
      <c r="AP66" s="315">
        <f t="shared" si="88"/>
        <v>1170000</v>
      </c>
      <c r="AQ66" s="315">
        <f t="shared" si="88"/>
        <v>1170000</v>
      </c>
      <c r="AR66" s="315">
        <f t="shared" si="88"/>
        <v>1170000</v>
      </c>
      <c r="AS66" s="315">
        <f t="shared" si="88"/>
        <v>1170000</v>
      </c>
      <c r="AT66" s="287"/>
      <c r="AU66" s="293"/>
      <c r="AV66" s="293"/>
      <c r="AW66" s="293"/>
    </row>
    <row r="67" spans="1:49" ht="17.25" customHeight="1">
      <c r="A67" s="501" t="s">
        <v>190</v>
      </c>
      <c r="B67" s="288"/>
      <c r="C67" s="288"/>
      <c r="D67" s="288"/>
      <c r="E67" s="310">
        <f>SUMIF($J$7:$AS$7,$E$7,$J67:$AS67)</f>
        <v>620</v>
      </c>
      <c r="F67" s="310">
        <f>SUMIF($J$7:$AS$7,$F$7,$J67:$AS67)</f>
        <v>970</v>
      </c>
      <c r="G67" s="310">
        <f>SUMIF($J$7:$AS$7,$G$7,$J67:$AS67)</f>
        <v>1080</v>
      </c>
      <c r="H67" s="41">
        <f>IFERROR(F67/E67-1,0)</f>
        <v>0.56451612903225801</v>
      </c>
      <c r="I67" s="41">
        <f>IFERROR(G67/F67-1,0)</f>
        <v>0.11340206185567014</v>
      </c>
      <c r="J67" s="324">
        <v>15</v>
      </c>
      <c r="K67" s="324">
        <v>25</v>
      </c>
      <c r="L67" s="324">
        <v>35</v>
      </c>
      <c r="M67" s="324">
        <v>45</v>
      </c>
      <c r="N67" s="324">
        <v>45</v>
      </c>
      <c r="O67" s="324">
        <v>45</v>
      </c>
      <c r="P67" s="324">
        <v>60</v>
      </c>
      <c r="Q67" s="324">
        <v>60</v>
      </c>
      <c r="R67" s="324">
        <v>70</v>
      </c>
      <c r="S67" s="324">
        <v>70</v>
      </c>
      <c r="T67" s="324">
        <v>75</v>
      </c>
      <c r="U67" s="324">
        <v>75</v>
      </c>
      <c r="V67" s="324">
        <v>75</v>
      </c>
      <c r="W67" s="324">
        <v>75</v>
      </c>
      <c r="X67" s="324">
        <v>75</v>
      </c>
      <c r="Y67" s="324">
        <v>75</v>
      </c>
      <c r="Z67" s="324">
        <v>75</v>
      </c>
      <c r="AA67" s="324">
        <v>85</v>
      </c>
      <c r="AB67" s="324">
        <v>85</v>
      </c>
      <c r="AC67" s="324">
        <v>85</v>
      </c>
      <c r="AD67" s="324">
        <v>85</v>
      </c>
      <c r="AE67" s="324">
        <v>85</v>
      </c>
      <c r="AF67" s="324">
        <v>85</v>
      </c>
      <c r="AG67" s="324">
        <v>85</v>
      </c>
      <c r="AH67" s="324">
        <v>90</v>
      </c>
      <c r="AI67" s="324">
        <v>90</v>
      </c>
      <c r="AJ67" s="324">
        <v>90</v>
      </c>
      <c r="AK67" s="324">
        <v>90</v>
      </c>
      <c r="AL67" s="324">
        <v>90</v>
      </c>
      <c r="AM67" s="324">
        <v>90</v>
      </c>
      <c r="AN67" s="324">
        <v>90</v>
      </c>
      <c r="AO67" s="324">
        <v>90</v>
      </c>
      <c r="AP67" s="324">
        <v>90</v>
      </c>
      <c r="AQ67" s="324">
        <v>90</v>
      </c>
      <c r="AR67" s="324">
        <v>90</v>
      </c>
      <c r="AS67" s="324">
        <v>90</v>
      </c>
      <c r="AT67" s="287"/>
      <c r="AU67" s="293"/>
      <c r="AV67" s="293"/>
      <c r="AW67" s="293"/>
    </row>
    <row r="68" spans="1:49" ht="17.25" customHeight="1">
      <c r="A68" s="501" t="s">
        <v>191</v>
      </c>
      <c r="B68" s="492">
        <v>12500</v>
      </c>
      <c r="C68" s="492">
        <v>13000</v>
      </c>
      <c r="D68" s="492">
        <v>13000</v>
      </c>
      <c r="E68" s="308">
        <f>AVERAGEIF($J$7:$AS$7,$E$7,$J68:$AS68)</f>
        <v>12500</v>
      </c>
      <c r="F68" s="308">
        <f t="shared" ref="F68:G68" si="89">AVERAGEIF($J$7:$AS$7,$E$7,$J68:$AS68)</f>
        <v>12500</v>
      </c>
      <c r="G68" s="308">
        <f t="shared" si="89"/>
        <v>12500</v>
      </c>
      <c r="H68" s="43">
        <f>IFERROR(F68/E68-1,0)</f>
        <v>0</v>
      </c>
      <c r="I68" s="43">
        <f>IFERROR(G68/F68-1,0)</f>
        <v>0</v>
      </c>
      <c r="J68" s="291">
        <f>B68</f>
        <v>12500</v>
      </c>
      <c r="K68" s="291">
        <f>J68</f>
        <v>12500</v>
      </c>
      <c r="L68" s="291">
        <f t="shared" ref="L68:U68" si="90">K68</f>
        <v>12500</v>
      </c>
      <c r="M68" s="291">
        <f t="shared" si="90"/>
        <v>12500</v>
      </c>
      <c r="N68" s="291">
        <f t="shared" si="90"/>
        <v>12500</v>
      </c>
      <c r="O68" s="291">
        <f t="shared" si="90"/>
        <v>12500</v>
      </c>
      <c r="P68" s="291">
        <f t="shared" si="90"/>
        <v>12500</v>
      </c>
      <c r="Q68" s="291">
        <f t="shared" si="90"/>
        <v>12500</v>
      </c>
      <c r="R68" s="291">
        <f t="shared" si="90"/>
        <v>12500</v>
      </c>
      <c r="S68" s="291">
        <f t="shared" si="90"/>
        <v>12500</v>
      </c>
      <c r="T68" s="291">
        <f t="shared" si="90"/>
        <v>12500</v>
      </c>
      <c r="U68" s="291">
        <f t="shared" si="90"/>
        <v>12500</v>
      </c>
      <c r="V68" s="291">
        <f>C68</f>
        <v>13000</v>
      </c>
      <c r="W68" s="291">
        <f>V68</f>
        <v>13000</v>
      </c>
      <c r="X68" s="291">
        <f t="shared" ref="X68:AG68" si="91">W68</f>
        <v>13000</v>
      </c>
      <c r="Y68" s="291">
        <f t="shared" si="91"/>
        <v>13000</v>
      </c>
      <c r="Z68" s="291">
        <f t="shared" si="91"/>
        <v>13000</v>
      </c>
      <c r="AA68" s="291">
        <f t="shared" si="91"/>
        <v>13000</v>
      </c>
      <c r="AB68" s="291">
        <f t="shared" si="91"/>
        <v>13000</v>
      </c>
      <c r="AC68" s="291">
        <f t="shared" si="91"/>
        <v>13000</v>
      </c>
      <c r="AD68" s="291">
        <f t="shared" si="91"/>
        <v>13000</v>
      </c>
      <c r="AE68" s="291">
        <f t="shared" si="91"/>
        <v>13000</v>
      </c>
      <c r="AF68" s="291">
        <f t="shared" si="91"/>
        <v>13000</v>
      </c>
      <c r="AG68" s="291">
        <f t="shared" si="91"/>
        <v>13000</v>
      </c>
      <c r="AH68" s="291">
        <f>D68</f>
        <v>13000</v>
      </c>
      <c r="AI68" s="291">
        <f>AH68</f>
        <v>13000</v>
      </c>
      <c r="AJ68" s="291">
        <f t="shared" ref="AJ68:AS68" si="92">AI68</f>
        <v>13000</v>
      </c>
      <c r="AK68" s="291">
        <f t="shared" si="92"/>
        <v>13000</v>
      </c>
      <c r="AL68" s="291">
        <f t="shared" si="92"/>
        <v>13000</v>
      </c>
      <c r="AM68" s="291">
        <f t="shared" si="92"/>
        <v>13000</v>
      </c>
      <c r="AN68" s="291">
        <f t="shared" si="92"/>
        <v>13000</v>
      </c>
      <c r="AO68" s="291">
        <f t="shared" si="92"/>
        <v>13000</v>
      </c>
      <c r="AP68" s="291">
        <f t="shared" si="92"/>
        <v>13000</v>
      </c>
      <c r="AQ68" s="291">
        <f t="shared" si="92"/>
        <v>13000</v>
      </c>
      <c r="AR68" s="291">
        <f t="shared" si="92"/>
        <v>13000</v>
      </c>
      <c r="AS68" s="291">
        <f t="shared" si="92"/>
        <v>13000</v>
      </c>
      <c r="AT68" s="287"/>
      <c r="AU68" s="293"/>
      <c r="AV68" s="293"/>
      <c r="AW68" s="293"/>
    </row>
    <row r="69" spans="1:49" ht="17.25" customHeight="1">
      <c r="A69" s="501" t="s">
        <v>192</v>
      </c>
      <c r="B69" s="42">
        <v>0.2</v>
      </c>
      <c r="C69" s="42">
        <v>0.2</v>
      </c>
      <c r="D69" s="42">
        <v>0.2</v>
      </c>
      <c r="E69" s="310"/>
      <c r="F69" s="310"/>
      <c r="G69" s="310"/>
      <c r="H69" s="292"/>
      <c r="I69" s="292"/>
      <c r="J69" s="325">
        <f>J67/J63</f>
        <v>0.15957446808510639</v>
      </c>
      <c r="K69" s="325">
        <f t="shared" ref="K69:AS69" si="93">K67/K63</f>
        <v>0.21367521367521367</v>
      </c>
      <c r="L69" s="325">
        <f t="shared" si="93"/>
        <v>0.21341463414634146</v>
      </c>
      <c r="M69" s="325">
        <f t="shared" si="93"/>
        <v>0.24064171122994651</v>
      </c>
      <c r="N69" s="325">
        <f t="shared" si="93"/>
        <v>0.19230769230769232</v>
      </c>
      <c r="O69" s="325">
        <f t="shared" si="93"/>
        <v>0.1744186046511628</v>
      </c>
      <c r="P69" s="325">
        <f t="shared" si="93"/>
        <v>0.21352313167259787</v>
      </c>
      <c r="Q69" s="325">
        <f t="shared" si="93"/>
        <v>0.21352313167259787</v>
      </c>
      <c r="R69" s="325">
        <f t="shared" si="93"/>
        <v>0.24911032028469751</v>
      </c>
      <c r="S69" s="325">
        <f t="shared" si="93"/>
        <v>0.24911032028469751</v>
      </c>
      <c r="T69" s="325">
        <f t="shared" si="93"/>
        <v>0.2669039145907473</v>
      </c>
      <c r="U69" s="325">
        <f t="shared" si="93"/>
        <v>0.2669039145907473</v>
      </c>
      <c r="V69" s="325">
        <f t="shared" si="93"/>
        <v>0.16411378555798686</v>
      </c>
      <c r="W69" s="325">
        <f t="shared" si="93"/>
        <v>0.16411378555798686</v>
      </c>
      <c r="X69" s="325">
        <f t="shared" si="93"/>
        <v>0.16411378555798686</v>
      </c>
      <c r="Y69" s="325">
        <f t="shared" si="93"/>
        <v>0.16411378555798686</v>
      </c>
      <c r="Z69" s="325">
        <f t="shared" si="93"/>
        <v>0.16411378555798686</v>
      </c>
      <c r="AA69" s="325">
        <f t="shared" si="93"/>
        <v>0.18599562363238512</v>
      </c>
      <c r="AB69" s="325">
        <f t="shared" si="93"/>
        <v>0.18599562363238512</v>
      </c>
      <c r="AC69" s="325">
        <f t="shared" si="93"/>
        <v>0.18599562363238512</v>
      </c>
      <c r="AD69" s="325">
        <f t="shared" si="93"/>
        <v>0.18599562363238512</v>
      </c>
      <c r="AE69" s="325">
        <f t="shared" si="93"/>
        <v>0.18599562363238512</v>
      </c>
      <c r="AF69" s="325">
        <f t="shared" si="93"/>
        <v>0.18599562363238512</v>
      </c>
      <c r="AG69" s="325">
        <f t="shared" si="93"/>
        <v>0.18599562363238512</v>
      </c>
      <c r="AH69" s="325">
        <f t="shared" si="93"/>
        <v>0.18292682926829268</v>
      </c>
      <c r="AI69" s="325">
        <f t="shared" si="93"/>
        <v>0.18292682926829268</v>
      </c>
      <c r="AJ69" s="325">
        <f t="shared" si="93"/>
        <v>0.18292682926829268</v>
      </c>
      <c r="AK69" s="325">
        <f t="shared" si="93"/>
        <v>0.18292682926829268</v>
      </c>
      <c r="AL69" s="325">
        <f t="shared" si="93"/>
        <v>0.18292682926829268</v>
      </c>
      <c r="AM69" s="325">
        <f t="shared" si="93"/>
        <v>0.18292682926829268</v>
      </c>
      <c r="AN69" s="325">
        <f t="shared" si="93"/>
        <v>0.18292682926829268</v>
      </c>
      <c r="AO69" s="325">
        <f t="shared" si="93"/>
        <v>0.18292682926829268</v>
      </c>
      <c r="AP69" s="325">
        <f t="shared" si="93"/>
        <v>0.18292682926829268</v>
      </c>
      <c r="AQ69" s="325">
        <f t="shared" si="93"/>
        <v>0.18292682926829268</v>
      </c>
      <c r="AR69" s="325">
        <f t="shared" si="93"/>
        <v>0.18292682926829268</v>
      </c>
      <c r="AS69" s="325">
        <f t="shared" si="93"/>
        <v>0.18292682926829268</v>
      </c>
      <c r="AT69" s="287"/>
      <c r="AU69" s="293"/>
      <c r="AV69" s="293"/>
      <c r="AW69" s="293"/>
    </row>
    <row r="70" spans="1:49" ht="17.25" customHeight="1">
      <c r="A70" s="287" t="s">
        <v>193</v>
      </c>
      <c r="B70" s="288"/>
      <c r="C70" s="288"/>
      <c r="D70" s="288"/>
      <c r="E70" s="287"/>
      <c r="F70" s="287"/>
      <c r="G70" s="287"/>
      <c r="H70" s="287"/>
      <c r="I70" s="287"/>
      <c r="J70" s="315">
        <f>J72*J71</f>
        <v>171000</v>
      </c>
      <c r="K70" s="315">
        <f t="shared" ref="K70:AS70" si="94">K72*K71</f>
        <v>205200</v>
      </c>
      <c r="L70" s="315">
        <f t="shared" si="94"/>
        <v>273600</v>
      </c>
      <c r="M70" s="315">
        <f t="shared" si="94"/>
        <v>307800</v>
      </c>
      <c r="N70" s="315">
        <f t="shared" si="94"/>
        <v>410400</v>
      </c>
      <c r="O70" s="315">
        <f t="shared" si="94"/>
        <v>444600</v>
      </c>
      <c r="P70" s="315">
        <f t="shared" si="94"/>
        <v>478800</v>
      </c>
      <c r="Q70" s="315">
        <f t="shared" si="94"/>
        <v>478800</v>
      </c>
      <c r="R70" s="315">
        <f t="shared" si="94"/>
        <v>478800</v>
      </c>
      <c r="S70" s="315">
        <f t="shared" si="94"/>
        <v>478800</v>
      </c>
      <c r="T70" s="315">
        <f t="shared" si="94"/>
        <v>478800</v>
      </c>
      <c r="U70" s="315">
        <f t="shared" si="94"/>
        <v>478800</v>
      </c>
      <c r="V70" s="315">
        <f t="shared" si="94"/>
        <v>816500</v>
      </c>
      <c r="W70" s="315">
        <f t="shared" si="94"/>
        <v>816500</v>
      </c>
      <c r="X70" s="315">
        <f t="shared" si="94"/>
        <v>816500</v>
      </c>
      <c r="Y70" s="315">
        <f t="shared" si="94"/>
        <v>816500</v>
      </c>
      <c r="Z70" s="315">
        <f t="shared" si="94"/>
        <v>816500</v>
      </c>
      <c r="AA70" s="315">
        <f t="shared" si="94"/>
        <v>816500</v>
      </c>
      <c r="AB70" s="315">
        <f t="shared" si="94"/>
        <v>816500</v>
      </c>
      <c r="AC70" s="315">
        <f t="shared" si="94"/>
        <v>816500</v>
      </c>
      <c r="AD70" s="315">
        <f t="shared" si="94"/>
        <v>816500</v>
      </c>
      <c r="AE70" s="315">
        <f t="shared" si="94"/>
        <v>816500</v>
      </c>
      <c r="AF70" s="315">
        <f t="shared" si="94"/>
        <v>816500</v>
      </c>
      <c r="AG70" s="315">
        <f t="shared" si="94"/>
        <v>816500</v>
      </c>
      <c r="AH70" s="315">
        <f t="shared" si="94"/>
        <v>887500</v>
      </c>
      <c r="AI70" s="315">
        <f t="shared" si="94"/>
        <v>887500</v>
      </c>
      <c r="AJ70" s="315">
        <f t="shared" si="94"/>
        <v>887500</v>
      </c>
      <c r="AK70" s="315">
        <f t="shared" si="94"/>
        <v>887500</v>
      </c>
      <c r="AL70" s="315">
        <f t="shared" si="94"/>
        <v>887500</v>
      </c>
      <c r="AM70" s="315">
        <f t="shared" si="94"/>
        <v>887500</v>
      </c>
      <c r="AN70" s="315">
        <f t="shared" si="94"/>
        <v>887500</v>
      </c>
      <c r="AO70" s="315">
        <f t="shared" si="94"/>
        <v>887500</v>
      </c>
      <c r="AP70" s="315">
        <f t="shared" si="94"/>
        <v>887500</v>
      </c>
      <c r="AQ70" s="315">
        <f t="shared" si="94"/>
        <v>887500</v>
      </c>
      <c r="AR70" s="315">
        <f t="shared" si="94"/>
        <v>887500</v>
      </c>
      <c r="AS70" s="315">
        <f t="shared" si="94"/>
        <v>887500</v>
      </c>
      <c r="AT70" s="287"/>
      <c r="AU70" s="293"/>
      <c r="AV70" s="293"/>
      <c r="AW70" s="293"/>
    </row>
    <row r="71" spans="1:49" ht="17.25" customHeight="1">
      <c r="A71" s="501" t="s">
        <v>194</v>
      </c>
      <c r="B71" s="288"/>
      <c r="C71" s="288"/>
      <c r="D71" s="288"/>
      <c r="E71" s="310">
        <f>SUMIF($J$7:$AS$7,$E$7,$J71:$AS71)</f>
        <v>137</v>
      </c>
      <c r="F71" s="310">
        <f>SUMIF($J$7:$AS$7,$F$7,$J71:$AS71)</f>
        <v>276</v>
      </c>
      <c r="G71" s="310">
        <f>SUMIF($J$7:$AS$7,$G$7,$J71:$AS71)</f>
        <v>300</v>
      </c>
      <c r="H71" s="41">
        <f>IFERROR(F71/E71-1,0)</f>
        <v>1.0145985401459856</v>
      </c>
      <c r="I71" s="41">
        <f>IFERROR(G71/F71-1,0)</f>
        <v>8.6956521739130377E-2</v>
      </c>
      <c r="J71" s="322">
        <f>ROUND(J63*$B$73,0)</f>
        <v>5</v>
      </c>
      <c r="K71" s="322">
        <f t="shared" ref="K71:U71" si="95">ROUND(K63*$B$73,0)</f>
        <v>6</v>
      </c>
      <c r="L71" s="322">
        <f t="shared" si="95"/>
        <v>8</v>
      </c>
      <c r="M71" s="322">
        <f t="shared" si="95"/>
        <v>9</v>
      </c>
      <c r="N71" s="322">
        <f t="shared" si="95"/>
        <v>12</v>
      </c>
      <c r="O71" s="322">
        <f t="shared" si="95"/>
        <v>13</v>
      </c>
      <c r="P71" s="322">
        <f t="shared" si="95"/>
        <v>14</v>
      </c>
      <c r="Q71" s="322">
        <f t="shared" si="95"/>
        <v>14</v>
      </c>
      <c r="R71" s="322">
        <f t="shared" si="95"/>
        <v>14</v>
      </c>
      <c r="S71" s="322">
        <f t="shared" si="95"/>
        <v>14</v>
      </c>
      <c r="T71" s="322">
        <f t="shared" si="95"/>
        <v>14</v>
      </c>
      <c r="U71" s="322">
        <f t="shared" si="95"/>
        <v>14</v>
      </c>
      <c r="V71" s="322">
        <f>ROUND(V63*$C$73,0)</f>
        <v>23</v>
      </c>
      <c r="W71" s="322">
        <f t="shared" ref="W71:AG71" si="96">ROUND(W63*$C$73,0)</f>
        <v>23</v>
      </c>
      <c r="X71" s="322">
        <f t="shared" si="96"/>
        <v>23</v>
      </c>
      <c r="Y71" s="322">
        <f t="shared" si="96"/>
        <v>23</v>
      </c>
      <c r="Z71" s="322">
        <f t="shared" si="96"/>
        <v>23</v>
      </c>
      <c r="AA71" s="322">
        <f t="shared" si="96"/>
        <v>23</v>
      </c>
      <c r="AB71" s="322">
        <f t="shared" si="96"/>
        <v>23</v>
      </c>
      <c r="AC71" s="322">
        <f t="shared" si="96"/>
        <v>23</v>
      </c>
      <c r="AD71" s="322">
        <f t="shared" si="96"/>
        <v>23</v>
      </c>
      <c r="AE71" s="322">
        <f t="shared" si="96"/>
        <v>23</v>
      </c>
      <c r="AF71" s="322">
        <f t="shared" si="96"/>
        <v>23</v>
      </c>
      <c r="AG71" s="322">
        <f t="shared" si="96"/>
        <v>23</v>
      </c>
      <c r="AH71" s="322">
        <f>ROUND(AH63*$D$73,0)</f>
        <v>25</v>
      </c>
      <c r="AI71" s="322">
        <f t="shared" ref="AI71:AS71" si="97">ROUND(AI63*$D$73,0)</f>
        <v>25</v>
      </c>
      <c r="AJ71" s="322">
        <f t="shared" si="97"/>
        <v>25</v>
      </c>
      <c r="AK71" s="322">
        <f t="shared" si="97"/>
        <v>25</v>
      </c>
      <c r="AL71" s="322">
        <f t="shared" si="97"/>
        <v>25</v>
      </c>
      <c r="AM71" s="322">
        <f t="shared" si="97"/>
        <v>25</v>
      </c>
      <c r="AN71" s="322">
        <f t="shared" si="97"/>
        <v>25</v>
      </c>
      <c r="AO71" s="322">
        <f t="shared" si="97"/>
        <v>25</v>
      </c>
      <c r="AP71" s="322">
        <f t="shared" si="97"/>
        <v>25</v>
      </c>
      <c r="AQ71" s="322">
        <f t="shared" si="97"/>
        <v>25</v>
      </c>
      <c r="AR71" s="322">
        <f t="shared" si="97"/>
        <v>25</v>
      </c>
      <c r="AS71" s="322">
        <f t="shared" si="97"/>
        <v>25</v>
      </c>
      <c r="AT71" s="287"/>
      <c r="AU71" s="293"/>
      <c r="AV71" s="293"/>
      <c r="AW71" s="293"/>
    </row>
    <row r="72" spans="1:49" ht="17.25" customHeight="1">
      <c r="A72" s="501" t="s">
        <v>195</v>
      </c>
      <c r="B72" s="492">
        <v>34200</v>
      </c>
      <c r="C72" s="492">
        <v>35500</v>
      </c>
      <c r="D72" s="492">
        <v>35500</v>
      </c>
      <c r="E72" s="308">
        <f>AVERAGEIF($J$7:$AS$7,$E$7,$J72:$AS72)</f>
        <v>34200</v>
      </c>
      <c r="F72" s="308">
        <f t="shared" ref="F72:G72" si="98">AVERAGEIF($J$7:$AS$7,$E$7,$J72:$AS72)</f>
        <v>34200</v>
      </c>
      <c r="G72" s="308">
        <f t="shared" si="98"/>
        <v>34200</v>
      </c>
      <c r="H72" s="43">
        <f>IFERROR(F72/E72-1,0)</f>
        <v>0</v>
      </c>
      <c r="I72" s="43">
        <f>IFERROR(G72/F72-1,0)</f>
        <v>0</v>
      </c>
      <c r="J72" s="291">
        <f>B72</f>
        <v>34200</v>
      </c>
      <c r="K72" s="291">
        <f>J72</f>
        <v>34200</v>
      </c>
      <c r="L72" s="291">
        <f t="shared" ref="L72:U72" si="99">K72</f>
        <v>34200</v>
      </c>
      <c r="M72" s="291">
        <f t="shared" si="99"/>
        <v>34200</v>
      </c>
      <c r="N72" s="291">
        <f t="shared" si="99"/>
        <v>34200</v>
      </c>
      <c r="O72" s="291">
        <f t="shared" si="99"/>
        <v>34200</v>
      </c>
      <c r="P72" s="291">
        <f t="shared" si="99"/>
        <v>34200</v>
      </c>
      <c r="Q72" s="291">
        <f t="shared" si="99"/>
        <v>34200</v>
      </c>
      <c r="R72" s="291">
        <f t="shared" si="99"/>
        <v>34200</v>
      </c>
      <c r="S72" s="291">
        <f t="shared" si="99"/>
        <v>34200</v>
      </c>
      <c r="T72" s="291">
        <f t="shared" si="99"/>
        <v>34200</v>
      </c>
      <c r="U72" s="291">
        <f t="shared" si="99"/>
        <v>34200</v>
      </c>
      <c r="V72" s="291">
        <f>C72</f>
        <v>35500</v>
      </c>
      <c r="W72" s="291">
        <f>V72</f>
        <v>35500</v>
      </c>
      <c r="X72" s="291">
        <f t="shared" ref="X72:AG72" si="100">W72</f>
        <v>35500</v>
      </c>
      <c r="Y72" s="291">
        <f t="shared" si="100"/>
        <v>35500</v>
      </c>
      <c r="Z72" s="291">
        <f t="shared" si="100"/>
        <v>35500</v>
      </c>
      <c r="AA72" s="291">
        <f t="shared" si="100"/>
        <v>35500</v>
      </c>
      <c r="AB72" s="291">
        <f t="shared" si="100"/>
        <v>35500</v>
      </c>
      <c r="AC72" s="291">
        <f t="shared" si="100"/>
        <v>35500</v>
      </c>
      <c r="AD72" s="291">
        <f t="shared" si="100"/>
        <v>35500</v>
      </c>
      <c r="AE72" s="291">
        <f t="shared" si="100"/>
        <v>35500</v>
      </c>
      <c r="AF72" s="291">
        <f t="shared" si="100"/>
        <v>35500</v>
      </c>
      <c r="AG72" s="291">
        <f t="shared" si="100"/>
        <v>35500</v>
      </c>
      <c r="AH72" s="291">
        <f>D72</f>
        <v>35500</v>
      </c>
      <c r="AI72" s="291">
        <f>AH72</f>
        <v>35500</v>
      </c>
      <c r="AJ72" s="291">
        <f t="shared" ref="AJ72:AS72" si="101">AI72</f>
        <v>35500</v>
      </c>
      <c r="AK72" s="291">
        <f t="shared" si="101"/>
        <v>35500</v>
      </c>
      <c r="AL72" s="291">
        <f t="shared" si="101"/>
        <v>35500</v>
      </c>
      <c r="AM72" s="291">
        <f t="shared" si="101"/>
        <v>35500</v>
      </c>
      <c r="AN72" s="291">
        <f t="shared" si="101"/>
        <v>35500</v>
      </c>
      <c r="AO72" s="291">
        <f t="shared" si="101"/>
        <v>35500</v>
      </c>
      <c r="AP72" s="291">
        <f t="shared" si="101"/>
        <v>35500</v>
      </c>
      <c r="AQ72" s="291">
        <f t="shared" si="101"/>
        <v>35500</v>
      </c>
      <c r="AR72" s="291">
        <f t="shared" si="101"/>
        <v>35500</v>
      </c>
      <c r="AS72" s="291">
        <f t="shared" si="101"/>
        <v>35500</v>
      </c>
      <c r="AT72" s="287"/>
      <c r="AU72" s="293"/>
      <c r="AV72" s="293"/>
      <c r="AW72" s="293"/>
    </row>
    <row r="73" spans="1:49" ht="17.25" customHeight="1">
      <c r="A73" s="501" t="s">
        <v>196</v>
      </c>
      <c r="B73" s="488">
        <v>0.05</v>
      </c>
      <c r="C73" s="488">
        <v>0.05</v>
      </c>
      <c r="D73" s="488">
        <v>0.05</v>
      </c>
      <c r="E73" s="310"/>
      <c r="F73" s="310"/>
      <c r="G73" s="310"/>
      <c r="H73" s="41"/>
      <c r="I73" s="41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  <c r="AI73" s="323"/>
      <c r="AJ73" s="323"/>
      <c r="AK73" s="323"/>
      <c r="AL73" s="323"/>
      <c r="AM73" s="323"/>
      <c r="AN73" s="323"/>
      <c r="AO73" s="323"/>
      <c r="AP73" s="323"/>
      <c r="AQ73" s="323"/>
      <c r="AR73" s="323"/>
      <c r="AS73" s="323"/>
      <c r="AT73" s="287"/>
      <c r="AU73" s="293"/>
      <c r="AV73" s="293"/>
      <c r="AW73" s="293"/>
    </row>
    <row r="74" spans="1:49" s="496" customFormat="1" ht="22.5" customHeight="1">
      <c r="A74" s="469" t="s">
        <v>197</v>
      </c>
      <c r="B74" s="45"/>
      <c r="C74" s="45"/>
      <c r="D74" s="45"/>
      <c r="E74" s="296">
        <f>SUMIF($J$7:$AS$7,$E$7,$J74:$AS74)</f>
        <v>12454580</v>
      </c>
      <c r="F74" s="296">
        <f>SUMIF($J$7:$AS$7,$F$7,$J74:$AS74)</f>
        <v>22446388</v>
      </c>
      <c r="G74" s="296">
        <f>SUMIF($J$7:$AS$7,$G$7,$J74:$AS74)</f>
        <v>24731328</v>
      </c>
      <c r="H74" s="38">
        <f>IFERROR(F74/E74-1,0)</f>
        <v>0.80225973095841052</v>
      </c>
      <c r="I74" s="38">
        <f>IFERROR(G74/F74-1,0)</f>
        <v>0.1017954425451435</v>
      </c>
      <c r="J74" s="39">
        <f>J62+J66+J70</f>
        <v>359158</v>
      </c>
      <c r="K74" s="39">
        <f t="shared" ref="K74:AS74" si="102">K62+K66+K70</f>
        <v>518519</v>
      </c>
      <c r="L74" s="39">
        <f t="shared" si="102"/>
        <v>712248</v>
      </c>
      <c r="M74" s="39">
        <f t="shared" si="102"/>
        <v>871609</v>
      </c>
      <c r="N74" s="39">
        <f t="shared" si="102"/>
        <v>974538</v>
      </c>
      <c r="O74" s="39">
        <f t="shared" si="102"/>
        <v>1008906</v>
      </c>
      <c r="P74" s="39">
        <f t="shared" si="102"/>
        <v>1230767</v>
      </c>
      <c r="Q74" s="39">
        <f t="shared" si="102"/>
        <v>1230767</v>
      </c>
      <c r="R74" s="39">
        <f t="shared" si="102"/>
        <v>1355767</v>
      </c>
      <c r="S74" s="39">
        <f t="shared" si="102"/>
        <v>1355767</v>
      </c>
      <c r="T74" s="39">
        <f t="shared" si="102"/>
        <v>1418267</v>
      </c>
      <c r="U74" s="39">
        <f t="shared" si="102"/>
        <v>1418267</v>
      </c>
      <c r="V74" s="39">
        <f t="shared" si="102"/>
        <v>1794699</v>
      </c>
      <c r="W74" s="39">
        <f t="shared" si="102"/>
        <v>1794699</v>
      </c>
      <c r="X74" s="39">
        <f t="shared" si="102"/>
        <v>1794699</v>
      </c>
      <c r="Y74" s="39">
        <f t="shared" si="102"/>
        <v>1794699</v>
      </c>
      <c r="Z74" s="39">
        <f t="shared" si="102"/>
        <v>1794699</v>
      </c>
      <c r="AA74" s="39">
        <f t="shared" si="102"/>
        <v>1924699</v>
      </c>
      <c r="AB74" s="39">
        <f t="shared" si="102"/>
        <v>1924699</v>
      </c>
      <c r="AC74" s="39">
        <f t="shared" si="102"/>
        <v>1924699</v>
      </c>
      <c r="AD74" s="39">
        <f t="shared" si="102"/>
        <v>1924699</v>
      </c>
      <c r="AE74" s="39">
        <f t="shared" si="102"/>
        <v>1924699</v>
      </c>
      <c r="AF74" s="39">
        <f t="shared" si="102"/>
        <v>1924699</v>
      </c>
      <c r="AG74" s="39">
        <f t="shared" si="102"/>
        <v>1924699</v>
      </c>
      <c r="AH74" s="39">
        <f t="shared" si="102"/>
        <v>2060944</v>
      </c>
      <c r="AI74" s="39">
        <f t="shared" si="102"/>
        <v>2060944</v>
      </c>
      <c r="AJ74" s="39">
        <f t="shared" si="102"/>
        <v>2060944</v>
      </c>
      <c r="AK74" s="39">
        <f t="shared" si="102"/>
        <v>2060944</v>
      </c>
      <c r="AL74" s="39">
        <f t="shared" si="102"/>
        <v>2060944</v>
      </c>
      <c r="AM74" s="39">
        <f t="shared" si="102"/>
        <v>2060944</v>
      </c>
      <c r="AN74" s="39">
        <f t="shared" si="102"/>
        <v>2060944</v>
      </c>
      <c r="AO74" s="39">
        <f t="shared" si="102"/>
        <v>2060944</v>
      </c>
      <c r="AP74" s="39">
        <f t="shared" si="102"/>
        <v>2060944</v>
      </c>
      <c r="AQ74" s="39">
        <f t="shared" si="102"/>
        <v>2060944</v>
      </c>
      <c r="AR74" s="39">
        <f t="shared" si="102"/>
        <v>2060944</v>
      </c>
      <c r="AS74" s="39">
        <f t="shared" si="102"/>
        <v>2060944</v>
      </c>
      <c r="AT74" s="297"/>
    </row>
    <row r="75" spans="1:49" s="250" customFormat="1" ht="4.5" customHeight="1"/>
    <row r="76" spans="1:49" ht="17.25" customHeight="1">
      <c r="A76" s="469" t="s">
        <v>198</v>
      </c>
      <c r="B76" s="316"/>
      <c r="C76" s="316"/>
      <c r="D76" s="316"/>
      <c r="E76" s="317"/>
      <c r="F76" s="317"/>
      <c r="G76" s="317"/>
      <c r="H76" s="302"/>
      <c r="I76" s="302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19"/>
      <c r="AF76" s="319"/>
      <c r="AG76" s="319"/>
      <c r="AH76" s="319"/>
      <c r="AI76" s="319"/>
      <c r="AJ76" s="319"/>
      <c r="AK76" s="319"/>
      <c r="AL76" s="319"/>
      <c r="AM76" s="319"/>
      <c r="AN76" s="319"/>
      <c r="AO76" s="319"/>
      <c r="AP76" s="319"/>
      <c r="AQ76" s="319"/>
      <c r="AR76" s="319"/>
      <c r="AS76" s="319"/>
      <c r="AT76" s="287"/>
      <c r="AU76" s="293"/>
      <c r="AV76" s="293"/>
      <c r="AW76" s="293"/>
    </row>
    <row r="77" spans="1:49" ht="17.25" customHeight="1">
      <c r="A77" s="287" t="s">
        <v>129</v>
      </c>
      <c r="B77" s="287"/>
      <c r="C77" s="287"/>
      <c r="D77" s="287"/>
      <c r="E77" s="310">
        <f>SUMIF($J$7:$AS$7,$E$7,$J77:$AS77)</f>
        <v>3290000</v>
      </c>
      <c r="F77" s="310">
        <f>SUMIF($J$7:$AS$7,$F$7,$J77:$AS77)</f>
        <v>9240000</v>
      </c>
      <c r="G77" s="310">
        <f>SUMIF($J$7:$AS$7,$G$7,$J77:$AS77)</f>
        <v>1155000</v>
      </c>
      <c r="H77" s="41">
        <f>IFERROR(F77/E77-1,0)</f>
        <v>1.8085106382978724</v>
      </c>
      <c r="I77" s="41">
        <f>IFERROR(G77/F77-1,0)</f>
        <v>-0.875</v>
      </c>
      <c r="J77" s="315">
        <f t="shared" ref="J77:AS77" si="103">J78*J80</f>
        <v>70000</v>
      </c>
      <c r="K77" s="315">
        <f t="shared" si="103"/>
        <v>140000</v>
      </c>
      <c r="L77" s="315">
        <f t="shared" si="103"/>
        <v>210000</v>
      </c>
      <c r="M77" s="315">
        <f t="shared" si="103"/>
        <v>210000</v>
      </c>
      <c r="N77" s="315">
        <f t="shared" si="103"/>
        <v>210000</v>
      </c>
      <c r="O77" s="315">
        <f t="shared" si="103"/>
        <v>350000</v>
      </c>
      <c r="P77" s="315">
        <f t="shared" si="103"/>
        <v>350000</v>
      </c>
      <c r="Q77" s="315">
        <f t="shared" si="103"/>
        <v>350000</v>
      </c>
      <c r="R77" s="315">
        <f t="shared" si="103"/>
        <v>350000</v>
      </c>
      <c r="S77" s="315">
        <f t="shared" si="103"/>
        <v>350000</v>
      </c>
      <c r="T77" s="315">
        <f t="shared" si="103"/>
        <v>350000</v>
      </c>
      <c r="U77" s="315">
        <f t="shared" si="103"/>
        <v>350000</v>
      </c>
      <c r="V77" s="315">
        <f t="shared" si="103"/>
        <v>770000</v>
      </c>
      <c r="W77" s="315">
        <f t="shared" si="103"/>
        <v>770000</v>
      </c>
      <c r="X77" s="315">
        <f t="shared" si="103"/>
        <v>770000</v>
      </c>
      <c r="Y77" s="315">
        <f t="shared" si="103"/>
        <v>770000</v>
      </c>
      <c r="Z77" s="315">
        <f t="shared" si="103"/>
        <v>770000</v>
      </c>
      <c r="AA77" s="315">
        <f t="shared" si="103"/>
        <v>770000</v>
      </c>
      <c r="AB77" s="315">
        <f t="shared" si="103"/>
        <v>770000</v>
      </c>
      <c r="AC77" s="315">
        <f t="shared" si="103"/>
        <v>770000</v>
      </c>
      <c r="AD77" s="315">
        <f t="shared" si="103"/>
        <v>770000</v>
      </c>
      <c r="AE77" s="315">
        <f t="shared" si="103"/>
        <v>770000</v>
      </c>
      <c r="AF77" s="315">
        <f t="shared" si="103"/>
        <v>770000</v>
      </c>
      <c r="AG77" s="315">
        <f t="shared" si="103"/>
        <v>770000</v>
      </c>
      <c r="AH77" s="315">
        <f t="shared" si="103"/>
        <v>1155000</v>
      </c>
      <c r="AI77" s="315">
        <f t="shared" si="103"/>
        <v>0</v>
      </c>
      <c r="AJ77" s="315">
        <f t="shared" si="103"/>
        <v>0</v>
      </c>
      <c r="AK77" s="315">
        <f t="shared" si="103"/>
        <v>0</v>
      </c>
      <c r="AL77" s="315">
        <f t="shared" si="103"/>
        <v>0</v>
      </c>
      <c r="AM77" s="315">
        <f t="shared" si="103"/>
        <v>0</v>
      </c>
      <c r="AN77" s="315">
        <f t="shared" si="103"/>
        <v>0</v>
      </c>
      <c r="AO77" s="315">
        <f t="shared" si="103"/>
        <v>0</v>
      </c>
      <c r="AP77" s="315">
        <f t="shared" si="103"/>
        <v>0</v>
      </c>
      <c r="AQ77" s="315">
        <f t="shared" si="103"/>
        <v>0</v>
      </c>
      <c r="AR77" s="315">
        <f t="shared" si="103"/>
        <v>0</v>
      </c>
      <c r="AS77" s="315">
        <f t="shared" si="103"/>
        <v>0</v>
      </c>
      <c r="AT77" s="287"/>
      <c r="AU77" s="293"/>
      <c r="AV77" s="293"/>
      <c r="AW77" s="293"/>
    </row>
    <row r="78" spans="1:49" ht="17.25" customHeight="1">
      <c r="A78" s="479" t="s">
        <v>199</v>
      </c>
      <c r="B78" s="508">
        <v>200</v>
      </c>
      <c r="C78" s="508">
        <v>400</v>
      </c>
      <c r="D78" s="508">
        <v>600</v>
      </c>
      <c r="E78" s="308">
        <f>SUMIF($J$7:$AS$7,$E$7,$J78:$AS78)</f>
        <v>940</v>
      </c>
      <c r="F78" s="308">
        <f>SUMIF($J$7:$AS$7,$F$7,$J78:$AS78)</f>
        <v>2400</v>
      </c>
      <c r="G78" s="308">
        <f>SUMIF($J$7:$AS$7,$G$7,$J78:$AS78)</f>
        <v>300</v>
      </c>
      <c r="H78" s="43">
        <f>IFERROR(F78/E78-1,0)</f>
        <v>1.5531914893617023</v>
      </c>
      <c r="I78" s="43">
        <f>IFERROR(G78/F78-1,0)</f>
        <v>-0.875</v>
      </c>
      <c r="J78" s="322">
        <f>ROUND($B$78*J79,0)</f>
        <v>20</v>
      </c>
      <c r="K78" s="322">
        <f t="shared" ref="K78:U78" si="104">ROUND($B$78*K79,0)</f>
        <v>40</v>
      </c>
      <c r="L78" s="322">
        <f t="shared" si="104"/>
        <v>60</v>
      </c>
      <c r="M78" s="322">
        <f t="shared" si="104"/>
        <v>60</v>
      </c>
      <c r="N78" s="322">
        <f t="shared" si="104"/>
        <v>60</v>
      </c>
      <c r="O78" s="322">
        <f t="shared" si="104"/>
        <v>100</v>
      </c>
      <c r="P78" s="322">
        <f t="shared" si="104"/>
        <v>100</v>
      </c>
      <c r="Q78" s="322">
        <f t="shared" si="104"/>
        <v>100</v>
      </c>
      <c r="R78" s="322">
        <f t="shared" si="104"/>
        <v>100</v>
      </c>
      <c r="S78" s="322">
        <f t="shared" si="104"/>
        <v>100</v>
      </c>
      <c r="T78" s="322">
        <f t="shared" si="104"/>
        <v>100</v>
      </c>
      <c r="U78" s="322">
        <f t="shared" si="104"/>
        <v>100</v>
      </c>
      <c r="V78" s="322">
        <f t="shared" ref="V78:AG78" si="105">ROUND($C$78*V79,0)</f>
        <v>200</v>
      </c>
      <c r="W78" s="322">
        <f t="shared" si="105"/>
        <v>200</v>
      </c>
      <c r="X78" s="322">
        <f t="shared" si="105"/>
        <v>200</v>
      </c>
      <c r="Y78" s="322">
        <f t="shared" si="105"/>
        <v>200</v>
      </c>
      <c r="Z78" s="322">
        <f t="shared" si="105"/>
        <v>200</v>
      </c>
      <c r="AA78" s="322">
        <f t="shared" si="105"/>
        <v>200</v>
      </c>
      <c r="AB78" s="322">
        <f t="shared" si="105"/>
        <v>200</v>
      </c>
      <c r="AC78" s="322">
        <f t="shared" si="105"/>
        <v>200</v>
      </c>
      <c r="AD78" s="322">
        <f t="shared" si="105"/>
        <v>200</v>
      </c>
      <c r="AE78" s="322">
        <f t="shared" si="105"/>
        <v>200</v>
      </c>
      <c r="AF78" s="322">
        <f t="shared" si="105"/>
        <v>200</v>
      </c>
      <c r="AG78" s="322">
        <f t="shared" si="105"/>
        <v>200</v>
      </c>
      <c r="AH78" s="322">
        <f>ROUND($D$78*AH79,0)</f>
        <v>300</v>
      </c>
      <c r="AI78" s="322">
        <f t="shared" ref="AI78:AS78" si="106">ROUND($D$78*AI79,0)</f>
        <v>0</v>
      </c>
      <c r="AJ78" s="322">
        <f t="shared" si="106"/>
        <v>0</v>
      </c>
      <c r="AK78" s="322">
        <f t="shared" si="106"/>
        <v>0</v>
      </c>
      <c r="AL78" s="322">
        <f t="shared" si="106"/>
        <v>0</v>
      </c>
      <c r="AM78" s="322">
        <f t="shared" si="106"/>
        <v>0</v>
      </c>
      <c r="AN78" s="322">
        <f t="shared" si="106"/>
        <v>0</v>
      </c>
      <c r="AO78" s="322">
        <f t="shared" si="106"/>
        <v>0</v>
      </c>
      <c r="AP78" s="322">
        <f t="shared" si="106"/>
        <v>0</v>
      </c>
      <c r="AQ78" s="322">
        <f t="shared" si="106"/>
        <v>0</v>
      </c>
      <c r="AR78" s="322">
        <f t="shared" si="106"/>
        <v>0</v>
      </c>
      <c r="AS78" s="322">
        <f t="shared" si="106"/>
        <v>0</v>
      </c>
      <c r="AT78" s="287"/>
      <c r="AU78" s="293"/>
      <c r="AV78" s="293"/>
      <c r="AW78" s="293"/>
    </row>
    <row r="79" spans="1:49" ht="17.25" customHeight="1">
      <c r="A79" s="482" t="s">
        <v>29</v>
      </c>
      <c r="B79" s="287"/>
      <c r="C79" s="287"/>
      <c r="D79" s="287"/>
      <c r="E79" s="287"/>
      <c r="F79" s="287"/>
      <c r="G79" s="287"/>
      <c r="H79" s="287"/>
      <c r="I79" s="287"/>
      <c r="J79" s="509">
        <v>0.1</v>
      </c>
      <c r="K79" s="509">
        <v>0.2</v>
      </c>
      <c r="L79" s="509">
        <v>0.3</v>
      </c>
      <c r="M79" s="509">
        <v>0.3</v>
      </c>
      <c r="N79" s="509">
        <v>0.3</v>
      </c>
      <c r="O79" s="509">
        <v>0.5</v>
      </c>
      <c r="P79" s="509">
        <v>0.5</v>
      </c>
      <c r="Q79" s="509">
        <v>0.5</v>
      </c>
      <c r="R79" s="509">
        <v>0.5</v>
      </c>
      <c r="S79" s="509">
        <v>0.5</v>
      </c>
      <c r="T79" s="509">
        <v>0.5</v>
      </c>
      <c r="U79" s="509">
        <v>0.5</v>
      </c>
      <c r="V79" s="509">
        <v>0.5</v>
      </c>
      <c r="W79" s="509">
        <v>0.5</v>
      </c>
      <c r="X79" s="509">
        <v>0.5</v>
      </c>
      <c r="Y79" s="509">
        <v>0.5</v>
      </c>
      <c r="Z79" s="509">
        <v>0.5</v>
      </c>
      <c r="AA79" s="509">
        <v>0.5</v>
      </c>
      <c r="AB79" s="509">
        <v>0.5</v>
      </c>
      <c r="AC79" s="509">
        <v>0.5</v>
      </c>
      <c r="AD79" s="509">
        <v>0.5</v>
      </c>
      <c r="AE79" s="509">
        <v>0.5</v>
      </c>
      <c r="AF79" s="509">
        <v>0.5</v>
      </c>
      <c r="AG79" s="509">
        <v>0.5</v>
      </c>
      <c r="AH79" s="509">
        <v>0.5</v>
      </c>
      <c r="AI79" s="509"/>
      <c r="AJ79" s="509"/>
      <c r="AK79" s="509"/>
      <c r="AL79" s="509"/>
      <c r="AM79" s="509"/>
      <c r="AN79" s="509"/>
      <c r="AO79" s="509"/>
      <c r="AP79" s="509"/>
      <c r="AQ79" s="509"/>
      <c r="AR79" s="509"/>
      <c r="AS79" s="509"/>
      <c r="AT79" s="287"/>
      <c r="AU79" s="293"/>
      <c r="AV79" s="293"/>
      <c r="AW79" s="293"/>
    </row>
    <row r="80" spans="1:49" ht="17.25" customHeight="1">
      <c r="A80" s="501" t="s">
        <v>200</v>
      </c>
      <c r="B80" s="492">
        <v>3500</v>
      </c>
      <c r="C80" s="492">
        <v>3850</v>
      </c>
      <c r="D80" s="492">
        <v>3850</v>
      </c>
      <c r="E80" s="287"/>
      <c r="F80" s="287"/>
      <c r="G80" s="287"/>
      <c r="H80" s="287"/>
      <c r="I80" s="287"/>
      <c r="J80" s="291">
        <f>$B$80</f>
        <v>3500</v>
      </c>
      <c r="K80" s="291">
        <f t="shared" ref="K80:U80" si="107">$B$80</f>
        <v>3500</v>
      </c>
      <c r="L80" s="291">
        <f t="shared" si="107"/>
        <v>3500</v>
      </c>
      <c r="M80" s="291">
        <f t="shared" si="107"/>
        <v>3500</v>
      </c>
      <c r="N80" s="291">
        <f t="shared" si="107"/>
        <v>3500</v>
      </c>
      <c r="O80" s="291">
        <f t="shared" si="107"/>
        <v>3500</v>
      </c>
      <c r="P80" s="291">
        <f t="shared" si="107"/>
        <v>3500</v>
      </c>
      <c r="Q80" s="291">
        <f t="shared" si="107"/>
        <v>3500</v>
      </c>
      <c r="R80" s="291">
        <f t="shared" si="107"/>
        <v>3500</v>
      </c>
      <c r="S80" s="291">
        <f t="shared" si="107"/>
        <v>3500</v>
      </c>
      <c r="T80" s="291">
        <f t="shared" si="107"/>
        <v>3500</v>
      </c>
      <c r="U80" s="291">
        <f t="shared" si="107"/>
        <v>3500</v>
      </c>
      <c r="V80" s="291">
        <f t="shared" ref="V80:AG80" si="108">$C$80</f>
        <v>3850</v>
      </c>
      <c r="W80" s="291">
        <f t="shared" si="108"/>
        <v>3850</v>
      </c>
      <c r="X80" s="291">
        <f t="shared" si="108"/>
        <v>3850</v>
      </c>
      <c r="Y80" s="291">
        <f t="shared" si="108"/>
        <v>3850</v>
      </c>
      <c r="Z80" s="291">
        <f t="shared" si="108"/>
        <v>3850</v>
      </c>
      <c r="AA80" s="291">
        <f t="shared" si="108"/>
        <v>3850</v>
      </c>
      <c r="AB80" s="291">
        <f t="shared" si="108"/>
        <v>3850</v>
      </c>
      <c r="AC80" s="291">
        <f t="shared" si="108"/>
        <v>3850</v>
      </c>
      <c r="AD80" s="291">
        <f t="shared" si="108"/>
        <v>3850</v>
      </c>
      <c r="AE80" s="291">
        <f t="shared" si="108"/>
        <v>3850</v>
      </c>
      <c r="AF80" s="291">
        <f t="shared" si="108"/>
        <v>3850</v>
      </c>
      <c r="AG80" s="291">
        <f t="shared" si="108"/>
        <v>3850</v>
      </c>
      <c r="AH80" s="291">
        <f>$D$80</f>
        <v>3850</v>
      </c>
      <c r="AI80" s="291">
        <f t="shared" ref="AI80:AS80" si="109">$D$80</f>
        <v>3850</v>
      </c>
      <c r="AJ80" s="291">
        <f t="shared" si="109"/>
        <v>3850</v>
      </c>
      <c r="AK80" s="291">
        <f t="shared" si="109"/>
        <v>3850</v>
      </c>
      <c r="AL80" s="291">
        <f t="shared" si="109"/>
        <v>3850</v>
      </c>
      <c r="AM80" s="291">
        <f t="shared" si="109"/>
        <v>3850</v>
      </c>
      <c r="AN80" s="291">
        <f t="shared" si="109"/>
        <v>3850</v>
      </c>
      <c r="AO80" s="291">
        <f t="shared" si="109"/>
        <v>3850</v>
      </c>
      <c r="AP80" s="291">
        <f t="shared" si="109"/>
        <v>3850</v>
      </c>
      <c r="AQ80" s="291">
        <f t="shared" si="109"/>
        <v>3850</v>
      </c>
      <c r="AR80" s="291">
        <f t="shared" si="109"/>
        <v>3850</v>
      </c>
      <c r="AS80" s="291">
        <f t="shared" si="109"/>
        <v>3850</v>
      </c>
      <c r="AT80" s="287"/>
      <c r="AU80" s="293"/>
      <c r="AV80" s="293"/>
      <c r="AW80" s="293"/>
    </row>
    <row r="81" spans="1:49" ht="17.25" customHeight="1">
      <c r="A81" s="287" t="s">
        <v>130</v>
      </c>
      <c r="B81" s="288"/>
      <c r="C81" s="288"/>
      <c r="D81" s="288"/>
      <c r="E81" s="310">
        <f>SUMIF($J$7:$AS$7,$E$7,$J81:$AS81)</f>
        <v>1034000</v>
      </c>
      <c r="F81" s="310">
        <f>SUMIF($J$7:$AS$7,$F$7,$J81:$AS81)</f>
        <v>2640000</v>
      </c>
      <c r="G81" s="310">
        <f>SUMIF($J$7:$AS$7,$G$7,$J81:$AS81)</f>
        <v>330000</v>
      </c>
      <c r="H81" s="41">
        <f t="shared" ref="H81:I83" si="110">IFERROR(F81/E81-1,0)</f>
        <v>1.5531914893617023</v>
      </c>
      <c r="I81" s="41">
        <f t="shared" si="110"/>
        <v>-0.875</v>
      </c>
      <c r="J81" s="315">
        <f t="shared" ref="J81:AS81" si="111">J83*J82</f>
        <v>22000</v>
      </c>
      <c r="K81" s="315">
        <f t="shared" si="111"/>
        <v>44000</v>
      </c>
      <c r="L81" s="315">
        <f t="shared" si="111"/>
        <v>66000</v>
      </c>
      <c r="M81" s="315">
        <f t="shared" si="111"/>
        <v>66000</v>
      </c>
      <c r="N81" s="315">
        <f t="shared" si="111"/>
        <v>66000</v>
      </c>
      <c r="O81" s="315">
        <f t="shared" si="111"/>
        <v>110000</v>
      </c>
      <c r="P81" s="315">
        <f t="shared" si="111"/>
        <v>110000</v>
      </c>
      <c r="Q81" s="315">
        <f t="shared" si="111"/>
        <v>110000</v>
      </c>
      <c r="R81" s="315">
        <f t="shared" si="111"/>
        <v>110000</v>
      </c>
      <c r="S81" s="315">
        <f t="shared" si="111"/>
        <v>110000</v>
      </c>
      <c r="T81" s="315">
        <f t="shared" si="111"/>
        <v>110000</v>
      </c>
      <c r="U81" s="315">
        <f t="shared" si="111"/>
        <v>110000</v>
      </c>
      <c r="V81" s="315">
        <f t="shared" si="111"/>
        <v>220000</v>
      </c>
      <c r="W81" s="315">
        <f t="shared" si="111"/>
        <v>220000</v>
      </c>
      <c r="X81" s="315">
        <f t="shared" si="111"/>
        <v>220000</v>
      </c>
      <c r="Y81" s="315">
        <f t="shared" si="111"/>
        <v>220000</v>
      </c>
      <c r="Z81" s="315">
        <f t="shared" si="111"/>
        <v>220000</v>
      </c>
      <c r="AA81" s="315">
        <f t="shared" si="111"/>
        <v>220000</v>
      </c>
      <c r="AB81" s="315">
        <f t="shared" si="111"/>
        <v>220000</v>
      </c>
      <c r="AC81" s="315">
        <f t="shared" si="111"/>
        <v>220000</v>
      </c>
      <c r="AD81" s="315">
        <f t="shared" si="111"/>
        <v>220000</v>
      </c>
      <c r="AE81" s="315">
        <f t="shared" si="111"/>
        <v>220000</v>
      </c>
      <c r="AF81" s="315">
        <f t="shared" si="111"/>
        <v>220000</v>
      </c>
      <c r="AG81" s="315">
        <f t="shared" si="111"/>
        <v>220000</v>
      </c>
      <c r="AH81" s="315">
        <f t="shared" si="111"/>
        <v>330000</v>
      </c>
      <c r="AI81" s="315">
        <f t="shared" si="111"/>
        <v>0</v>
      </c>
      <c r="AJ81" s="315">
        <f t="shared" si="111"/>
        <v>0</v>
      </c>
      <c r="AK81" s="315">
        <f t="shared" si="111"/>
        <v>0</v>
      </c>
      <c r="AL81" s="315">
        <f t="shared" si="111"/>
        <v>0</v>
      </c>
      <c r="AM81" s="315">
        <f t="shared" si="111"/>
        <v>0</v>
      </c>
      <c r="AN81" s="315">
        <f t="shared" si="111"/>
        <v>0</v>
      </c>
      <c r="AO81" s="315">
        <f t="shared" si="111"/>
        <v>0</v>
      </c>
      <c r="AP81" s="315">
        <f t="shared" si="111"/>
        <v>0</v>
      </c>
      <c r="AQ81" s="315">
        <f t="shared" si="111"/>
        <v>0</v>
      </c>
      <c r="AR81" s="315">
        <f t="shared" si="111"/>
        <v>0</v>
      </c>
      <c r="AS81" s="315">
        <f t="shared" si="111"/>
        <v>0</v>
      </c>
      <c r="AT81" s="287"/>
      <c r="AU81" s="293"/>
      <c r="AV81" s="293"/>
      <c r="AW81" s="293"/>
    </row>
    <row r="82" spans="1:49" ht="17.25" customHeight="1">
      <c r="A82" s="501" t="s">
        <v>201</v>
      </c>
      <c r="B82" s="288"/>
      <c r="C82" s="288"/>
      <c r="D82" s="288"/>
      <c r="E82" s="310">
        <f>SUMIF($J$7:$AS$7,$E$7,$J82:$AS82)</f>
        <v>47</v>
      </c>
      <c r="F82" s="310">
        <f>SUMIF($J$7:$AS$7,$F$7,$J82:$AS82)</f>
        <v>120</v>
      </c>
      <c r="G82" s="310">
        <f>SUMIF($J$7:$AS$7,$G$7,$J82:$AS82)</f>
        <v>15</v>
      </c>
      <c r="H82" s="41">
        <f t="shared" si="110"/>
        <v>1.5531914893617023</v>
      </c>
      <c r="I82" s="41">
        <f t="shared" si="110"/>
        <v>-0.875</v>
      </c>
      <c r="J82" s="322">
        <f>ROUND(J78*$B$84*$B$85,0)</f>
        <v>1</v>
      </c>
      <c r="K82" s="322">
        <f t="shared" ref="K82:U82" si="112">ROUND(K78*$B$84*$B$85,0)</f>
        <v>2</v>
      </c>
      <c r="L82" s="322">
        <f t="shared" si="112"/>
        <v>3</v>
      </c>
      <c r="M82" s="322">
        <f t="shared" si="112"/>
        <v>3</v>
      </c>
      <c r="N82" s="322">
        <f t="shared" si="112"/>
        <v>3</v>
      </c>
      <c r="O82" s="322">
        <f t="shared" si="112"/>
        <v>5</v>
      </c>
      <c r="P82" s="322">
        <f t="shared" si="112"/>
        <v>5</v>
      </c>
      <c r="Q82" s="322">
        <f t="shared" si="112"/>
        <v>5</v>
      </c>
      <c r="R82" s="322">
        <f t="shared" si="112"/>
        <v>5</v>
      </c>
      <c r="S82" s="322">
        <f t="shared" si="112"/>
        <v>5</v>
      </c>
      <c r="T82" s="322">
        <f t="shared" si="112"/>
        <v>5</v>
      </c>
      <c r="U82" s="322">
        <f t="shared" si="112"/>
        <v>5</v>
      </c>
      <c r="V82" s="322">
        <f>ROUND(V78*$C$84*$C$85,0)</f>
        <v>10</v>
      </c>
      <c r="W82" s="322">
        <f t="shared" ref="W82:AG82" si="113">ROUND(W78*$C$84*$C$85,0)</f>
        <v>10</v>
      </c>
      <c r="X82" s="322">
        <f t="shared" si="113"/>
        <v>10</v>
      </c>
      <c r="Y82" s="322">
        <f t="shared" si="113"/>
        <v>10</v>
      </c>
      <c r="Z82" s="322">
        <f t="shared" si="113"/>
        <v>10</v>
      </c>
      <c r="AA82" s="322">
        <f t="shared" si="113"/>
        <v>10</v>
      </c>
      <c r="AB82" s="322">
        <f t="shared" si="113"/>
        <v>10</v>
      </c>
      <c r="AC82" s="322">
        <f t="shared" si="113"/>
        <v>10</v>
      </c>
      <c r="AD82" s="322">
        <f t="shared" si="113"/>
        <v>10</v>
      </c>
      <c r="AE82" s="322">
        <f t="shared" si="113"/>
        <v>10</v>
      </c>
      <c r="AF82" s="322">
        <f t="shared" si="113"/>
        <v>10</v>
      </c>
      <c r="AG82" s="322">
        <f t="shared" si="113"/>
        <v>10</v>
      </c>
      <c r="AH82" s="322">
        <f>ROUND(AH78*$D$84*$D$85,0)</f>
        <v>15</v>
      </c>
      <c r="AI82" s="322">
        <f t="shared" ref="AI82:AS82" si="114">ROUND(AI78*$D$84*$D$85,0)</f>
        <v>0</v>
      </c>
      <c r="AJ82" s="322">
        <f t="shared" si="114"/>
        <v>0</v>
      </c>
      <c r="AK82" s="322">
        <f t="shared" si="114"/>
        <v>0</v>
      </c>
      <c r="AL82" s="322">
        <f t="shared" si="114"/>
        <v>0</v>
      </c>
      <c r="AM82" s="322">
        <f t="shared" si="114"/>
        <v>0</v>
      </c>
      <c r="AN82" s="322">
        <f t="shared" si="114"/>
        <v>0</v>
      </c>
      <c r="AO82" s="322">
        <f t="shared" si="114"/>
        <v>0</v>
      </c>
      <c r="AP82" s="322">
        <f t="shared" si="114"/>
        <v>0</v>
      </c>
      <c r="AQ82" s="322">
        <f t="shared" si="114"/>
        <v>0</v>
      </c>
      <c r="AR82" s="322">
        <f t="shared" si="114"/>
        <v>0</v>
      </c>
      <c r="AS82" s="322">
        <f t="shared" si="114"/>
        <v>0</v>
      </c>
      <c r="AT82" s="465"/>
      <c r="AU82" s="293"/>
      <c r="AV82" s="293"/>
      <c r="AW82" s="293"/>
    </row>
    <row r="83" spans="1:49" ht="17.25" customHeight="1">
      <c r="A83" s="501" t="s">
        <v>202</v>
      </c>
      <c r="B83" s="492">
        <v>22000</v>
      </c>
      <c r="C83" s="492">
        <v>22000</v>
      </c>
      <c r="D83" s="492">
        <v>22000</v>
      </c>
      <c r="E83" s="308">
        <f>AVERAGEIF($J$7:$AS$7,$E$7,$J83:$AS83)</f>
        <v>22000</v>
      </c>
      <c r="F83" s="308">
        <f t="shared" ref="F83:G83" si="115">AVERAGEIF($J$7:$AS$7,$E$7,$J83:$AS83)</f>
        <v>22000</v>
      </c>
      <c r="G83" s="308">
        <f t="shared" si="115"/>
        <v>22000</v>
      </c>
      <c r="H83" s="43">
        <f t="shared" si="110"/>
        <v>0</v>
      </c>
      <c r="I83" s="43">
        <f t="shared" si="110"/>
        <v>0</v>
      </c>
      <c r="J83" s="291">
        <f>B83</f>
        <v>22000</v>
      </c>
      <c r="K83" s="291">
        <f>J83</f>
        <v>22000</v>
      </c>
      <c r="L83" s="291">
        <f t="shared" ref="L83:T83" si="116">K83</f>
        <v>22000</v>
      </c>
      <c r="M83" s="291">
        <f t="shared" si="116"/>
        <v>22000</v>
      </c>
      <c r="N83" s="291">
        <f t="shared" si="116"/>
        <v>22000</v>
      </c>
      <c r="O83" s="291">
        <f t="shared" si="116"/>
        <v>22000</v>
      </c>
      <c r="P83" s="291">
        <f t="shared" si="116"/>
        <v>22000</v>
      </c>
      <c r="Q83" s="291">
        <f t="shared" si="116"/>
        <v>22000</v>
      </c>
      <c r="R83" s="291">
        <f t="shared" si="116"/>
        <v>22000</v>
      </c>
      <c r="S83" s="291">
        <f t="shared" si="116"/>
        <v>22000</v>
      </c>
      <c r="T83" s="291">
        <f t="shared" si="116"/>
        <v>22000</v>
      </c>
      <c r="U83" s="291">
        <f>T83</f>
        <v>22000</v>
      </c>
      <c r="V83" s="291">
        <f>C83</f>
        <v>22000</v>
      </c>
      <c r="W83" s="291">
        <f>V83</f>
        <v>22000</v>
      </c>
      <c r="X83" s="291">
        <f t="shared" ref="X83:AG83" si="117">W83</f>
        <v>22000</v>
      </c>
      <c r="Y83" s="291">
        <f t="shared" si="117"/>
        <v>22000</v>
      </c>
      <c r="Z83" s="291">
        <f t="shared" si="117"/>
        <v>22000</v>
      </c>
      <c r="AA83" s="291">
        <f t="shared" si="117"/>
        <v>22000</v>
      </c>
      <c r="AB83" s="291">
        <f t="shared" si="117"/>
        <v>22000</v>
      </c>
      <c r="AC83" s="291">
        <f t="shared" si="117"/>
        <v>22000</v>
      </c>
      <c r="AD83" s="291">
        <f t="shared" si="117"/>
        <v>22000</v>
      </c>
      <c r="AE83" s="291">
        <f t="shared" si="117"/>
        <v>22000</v>
      </c>
      <c r="AF83" s="291">
        <f t="shared" si="117"/>
        <v>22000</v>
      </c>
      <c r="AG83" s="291">
        <f t="shared" si="117"/>
        <v>22000</v>
      </c>
      <c r="AH83" s="291">
        <f>D83</f>
        <v>22000</v>
      </c>
      <c r="AI83" s="291">
        <f>AH83</f>
        <v>22000</v>
      </c>
      <c r="AJ83" s="291">
        <f t="shared" ref="AJ83:AS83" si="118">AI83</f>
        <v>22000</v>
      </c>
      <c r="AK83" s="291">
        <f t="shared" si="118"/>
        <v>22000</v>
      </c>
      <c r="AL83" s="291">
        <f t="shared" si="118"/>
        <v>22000</v>
      </c>
      <c r="AM83" s="291">
        <f t="shared" si="118"/>
        <v>22000</v>
      </c>
      <c r="AN83" s="291">
        <f t="shared" si="118"/>
        <v>22000</v>
      </c>
      <c r="AO83" s="291">
        <f t="shared" si="118"/>
        <v>22000</v>
      </c>
      <c r="AP83" s="291">
        <f t="shared" si="118"/>
        <v>22000</v>
      </c>
      <c r="AQ83" s="291">
        <f t="shared" si="118"/>
        <v>22000</v>
      </c>
      <c r="AR83" s="291">
        <f t="shared" si="118"/>
        <v>22000</v>
      </c>
      <c r="AS83" s="291">
        <f t="shared" si="118"/>
        <v>22000</v>
      </c>
      <c r="AT83" s="287"/>
      <c r="AU83" s="293"/>
      <c r="AV83" s="293"/>
      <c r="AW83" s="293"/>
    </row>
    <row r="84" spans="1:49" ht="17.25" customHeight="1">
      <c r="A84" s="501" t="s">
        <v>203</v>
      </c>
      <c r="B84" s="488">
        <v>0.05</v>
      </c>
      <c r="C84" s="488">
        <v>0.05</v>
      </c>
      <c r="D84" s="488">
        <v>0.05</v>
      </c>
      <c r="E84" s="310"/>
      <c r="F84" s="310"/>
      <c r="G84" s="310"/>
      <c r="H84" s="41"/>
      <c r="I84" s="41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23"/>
      <c r="AM84" s="323"/>
      <c r="AN84" s="323"/>
      <c r="AO84" s="323"/>
      <c r="AP84" s="323"/>
      <c r="AQ84" s="323"/>
      <c r="AR84" s="323"/>
      <c r="AS84" s="323"/>
      <c r="AT84" s="287"/>
      <c r="AU84" s="293"/>
      <c r="AV84" s="293"/>
      <c r="AW84" s="293"/>
    </row>
    <row r="85" spans="1:49" ht="17.25" customHeight="1">
      <c r="A85" s="501" t="s">
        <v>269</v>
      </c>
      <c r="B85" s="510">
        <v>1</v>
      </c>
      <c r="C85" s="510">
        <v>1</v>
      </c>
      <c r="D85" s="510">
        <v>1</v>
      </c>
      <c r="E85" s="310"/>
      <c r="F85" s="310"/>
      <c r="G85" s="310"/>
      <c r="H85" s="41"/>
      <c r="I85" s="41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287"/>
      <c r="AU85" s="293"/>
      <c r="AV85" s="293"/>
      <c r="AW85" s="293"/>
    </row>
    <row r="86" spans="1:49" ht="17.25" customHeight="1">
      <c r="A86" s="287" t="s">
        <v>204</v>
      </c>
      <c r="B86" s="287"/>
      <c r="C86" s="287"/>
      <c r="D86" s="287"/>
      <c r="E86" s="310">
        <f>SUMIF($J$7:$AS$7,$E$7,$J86:$AS86)</f>
        <v>0</v>
      </c>
      <c r="F86" s="310">
        <f>SUMIF($J$7:$AS$7,$F$7,$J86:$AS86)</f>
        <v>0</v>
      </c>
      <c r="G86" s="310">
        <f>SUMIF($J$7:$AS$7,$G$7,$J86:$AS86)</f>
        <v>0</v>
      </c>
      <c r="H86" s="41">
        <f t="shared" ref="H86:I88" si="119">IFERROR(F86/E86-1,0)</f>
        <v>0</v>
      </c>
      <c r="I86" s="41">
        <f t="shared" si="119"/>
        <v>0</v>
      </c>
      <c r="J86" s="315">
        <f t="shared" ref="J86:AS86" si="120">J88*J87</f>
        <v>0</v>
      </c>
      <c r="K86" s="315">
        <f t="shared" si="120"/>
        <v>0</v>
      </c>
      <c r="L86" s="315">
        <f t="shared" si="120"/>
        <v>0</v>
      </c>
      <c r="M86" s="315">
        <f t="shared" si="120"/>
        <v>0</v>
      </c>
      <c r="N86" s="315">
        <f t="shared" si="120"/>
        <v>0</v>
      </c>
      <c r="O86" s="315">
        <f t="shared" si="120"/>
        <v>0</v>
      </c>
      <c r="P86" s="315">
        <f t="shared" si="120"/>
        <v>0</v>
      </c>
      <c r="Q86" s="315">
        <f t="shared" si="120"/>
        <v>0</v>
      </c>
      <c r="R86" s="315">
        <f t="shared" si="120"/>
        <v>0</v>
      </c>
      <c r="S86" s="315">
        <f t="shared" si="120"/>
        <v>0</v>
      </c>
      <c r="T86" s="315">
        <f t="shared" si="120"/>
        <v>0</v>
      </c>
      <c r="U86" s="315">
        <f t="shared" si="120"/>
        <v>0</v>
      </c>
      <c r="V86" s="315">
        <f t="shared" si="120"/>
        <v>0</v>
      </c>
      <c r="W86" s="315">
        <f t="shared" si="120"/>
        <v>0</v>
      </c>
      <c r="X86" s="315">
        <f t="shared" si="120"/>
        <v>0</v>
      </c>
      <c r="Y86" s="315">
        <f t="shared" si="120"/>
        <v>0</v>
      </c>
      <c r="Z86" s="315">
        <f t="shared" si="120"/>
        <v>0</v>
      </c>
      <c r="AA86" s="315">
        <f t="shared" si="120"/>
        <v>0</v>
      </c>
      <c r="AB86" s="315">
        <f t="shared" si="120"/>
        <v>0</v>
      </c>
      <c r="AC86" s="315">
        <f t="shared" si="120"/>
        <v>0</v>
      </c>
      <c r="AD86" s="315">
        <f t="shared" si="120"/>
        <v>0</v>
      </c>
      <c r="AE86" s="315">
        <f t="shared" si="120"/>
        <v>0</v>
      </c>
      <c r="AF86" s="315">
        <f t="shared" si="120"/>
        <v>0</v>
      </c>
      <c r="AG86" s="315">
        <f t="shared" si="120"/>
        <v>0</v>
      </c>
      <c r="AH86" s="315">
        <f t="shared" si="120"/>
        <v>0</v>
      </c>
      <c r="AI86" s="315">
        <f t="shared" si="120"/>
        <v>0</v>
      </c>
      <c r="AJ86" s="315">
        <f t="shared" si="120"/>
        <v>0</v>
      </c>
      <c r="AK86" s="315">
        <f t="shared" si="120"/>
        <v>0</v>
      </c>
      <c r="AL86" s="315">
        <f t="shared" si="120"/>
        <v>0</v>
      </c>
      <c r="AM86" s="315">
        <f t="shared" si="120"/>
        <v>0</v>
      </c>
      <c r="AN86" s="315">
        <f t="shared" si="120"/>
        <v>0</v>
      </c>
      <c r="AO86" s="315">
        <f t="shared" si="120"/>
        <v>0</v>
      </c>
      <c r="AP86" s="315">
        <f t="shared" si="120"/>
        <v>0</v>
      </c>
      <c r="AQ86" s="315">
        <f t="shared" si="120"/>
        <v>0</v>
      </c>
      <c r="AR86" s="315">
        <f t="shared" si="120"/>
        <v>0</v>
      </c>
      <c r="AS86" s="315">
        <f t="shared" si="120"/>
        <v>0</v>
      </c>
      <c r="AT86" s="287"/>
      <c r="AU86" s="293"/>
      <c r="AV86" s="293"/>
      <c r="AW86" s="293"/>
    </row>
    <row r="87" spans="1:49" ht="17.25" customHeight="1">
      <c r="A87" s="501" t="s">
        <v>205</v>
      </c>
      <c r="B87" s="288"/>
      <c r="C87" s="288"/>
      <c r="D87" s="288"/>
      <c r="E87" s="310">
        <f>SUMIF($J$7:$AS$7,$E$7,$J87:$AS87)</f>
        <v>0</v>
      </c>
      <c r="F87" s="310">
        <f>SUMIF($J$7:$AS$7,$F$7,$J87:$AS87)</f>
        <v>0</v>
      </c>
      <c r="G87" s="310">
        <f>SUMIF($J$7:$AS$7,$G$7,$J87:$AS87)</f>
        <v>0</v>
      </c>
      <c r="H87" s="41">
        <f t="shared" si="119"/>
        <v>0</v>
      </c>
      <c r="I87" s="41">
        <f t="shared" si="119"/>
        <v>0</v>
      </c>
      <c r="J87" s="322">
        <f t="shared" ref="J87:U87" si="121">ROUND(J78*$B$89,0)</f>
        <v>0</v>
      </c>
      <c r="K87" s="322">
        <f t="shared" si="121"/>
        <v>0</v>
      </c>
      <c r="L87" s="322">
        <f t="shared" si="121"/>
        <v>0</v>
      </c>
      <c r="M87" s="322">
        <f t="shared" si="121"/>
        <v>0</v>
      </c>
      <c r="N87" s="322">
        <f t="shared" si="121"/>
        <v>0</v>
      </c>
      <c r="O87" s="322">
        <f t="shared" si="121"/>
        <v>0</v>
      </c>
      <c r="P87" s="322">
        <f t="shared" si="121"/>
        <v>0</v>
      </c>
      <c r="Q87" s="322">
        <f t="shared" si="121"/>
        <v>0</v>
      </c>
      <c r="R87" s="322">
        <f t="shared" si="121"/>
        <v>0</v>
      </c>
      <c r="S87" s="322">
        <f t="shared" si="121"/>
        <v>0</v>
      </c>
      <c r="T87" s="322">
        <f t="shared" si="121"/>
        <v>0</v>
      </c>
      <c r="U87" s="322">
        <f t="shared" si="121"/>
        <v>0</v>
      </c>
      <c r="V87" s="322">
        <f t="shared" ref="V87:AG87" si="122">ROUND(V78*$C$89,0)</f>
        <v>0</v>
      </c>
      <c r="W87" s="322">
        <f t="shared" si="122"/>
        <v>0</v>
      </c>
      <c r="X87" s="322">
        <f t="shared" si="122"/>
        <v>0</v>
      </c>
      <c r="Y87" s="322">
        <f t="shared" si="122"/>
        <v>0</v>
      </c>
      <c r="Z87" s="322">
        <f t="shared" si="122"/>
        <v>0</v>
      </c>
      <c r="AA87" s="322">
        <f t="shared" si="122"/>
        <v>0</v>
      </c>
      <c r="AB87" s="322">
        <f t="shared" si="122"/>
        <v>0</v>
      </c>
      <c r="AC87" s="322">
        <f t="shared" si="122"/>
        <v>0</v>
      </c>
      <c r="AD87" s="322">
        <f t="shared" si="122"/>
        <v>0</v>
      </c>
      <c r="AE87" s="322">
        <f t="shared" si="122"/>
        <v>0</v>
      </c>
      <c r="AF87" s="322">
        <f t="shared" si="122"/>
        <v>0</v>
      </c>
      <c r="AG87" s="322">
        <f t="shared" si="122"/>
        <v>0</v>
      </c>
      <c r="AH87" s="322">
        <f t="shared" ref="AH87:AS87" si="123">ROUND(AH78*$D$89,0)</f>
        <v>0</v>
      </c>
      <c r="AI87" s="322">
        <f t="shared" si="123"/>
        <v>0</v>
      </c>
      <c r="AJ87" s="322">
        <f t="shared" si="123"/>
        <v>0</v>
      </c>
      <c r="AK87" s="322">
        <f t="shared" si="123"/>
        <v>0</v>
      </c>
      <c r="AL87" s="322">
        <f t="shared" si="123"/>
        <v>0</v>
      </c>
      <c r="AM87" s="322">
        <f t="shared" si="123"/>
        <v>0</v>
      </c>
      <c r="AN87" s="322">
        <f t="shared" si="123"/>
        <v>0</v>
      </c>
      <c r="AO87" s="322">
        <f t="shared" si="123"/>
        <v>0</v>
      </c>
      <c r="AP87" s="322">
        <f t="shared" si="123"/>
        <v>0</v>
      </c>
      <c r="AQ87" s="322">
        <f t="shared" si="123"/>
        <v>0</v>
      </c>
      <c r="AR87" s="322">
        <f t="shared" si="123"/>
        <v>0</v>
      </c>
      <c r="AS87" s="322">
        <f t="shared" si="123"/>
        <v>0</v>
      </c>
      <c r="AT87" s="465"/>
      <c r="AU87" s="293"/>
      <c r="AV87" s="293"/>
      <c r="AW87" s="293"/>
    </row>
    <row r="88" spans="1:49" ht="17.25" customHeight="1">
      <c r="A88" s="501" t="s">
        <v>206</v>
      </c>
      <c r="B88" s="492">
        <v>0</v>
      </c>
      <c r="C88" s="492"/>
      <c r="D88" s="492"/>
      <c r="E88" s="308">
        <f>AVERAGEIF($J$7:$AS$7,$E$7,$J88:$AS88)</f>
        <v>0</v>
      </c>
      <c r="F88" s="308">
        <f t="shared" ref="F88:G88" si="124">AVERAGEIF($J$7:$AS$7,$E$7,$J88:$AS88)</f>
        <v>0</v>
      </c>
      <c r="G88" s="308">
        <f t="shared" si="124"/>
        <v>0</v>
      </c>
      <c r="H88" s="43">
        <f t="shared" si="119"/>
        <v>0</v>
      </c>
      <c r="I88" s="43">
        <f t="shared" si="119"/>
        <v>0</v>
      </c>
      <c r="J88" s="291">
        <f>B88</f>
        <v>0</v>
      </c>
      <c r="K88" s="291">
        <f>J88</f>
        <v>0</v>
      </c>
      <c r="L88" s="291">
        <f t="shared" ref="L88:U88" si="125">K88</f>
        <v>0</v>
      </c>
      <c r="M88" s="291">
        <f t="shared" si="125"/>
        <v>0</v>
      </c>
      <c r="N88" s="291">
        <f t="shared" si="125"/>
        <v>0</v>
      </c>
      <c r="O88" s="291">
        <f t="shared" si="125"/>
        <v>0</v>
      </c>
      <c r="P88" s="291">
        <f t="shared" si="125"/>
        <v>0</v>
      </c>
      <c r="Q88" s="291">
        <f t="shared" si="125"/>
        <v>0</v>
      </c>
      <c r="R88" s="291">
        <f t="shared" si="125"/>
        <v>0</v>
      </c>
      <c r="S88" s="291">
        <f t="shared" si="125"/>
        <v>0</v>
      </c>
      <c r="T88" s="291">
        <f t="shared" si="125"/>
        <v>0</v>
      </c>
      <c r="U88" s="291">
        <f t="shared" si="125"/>
        <v>0</v>
      </c>
      <c r="V88" s="291">
        <f>C88</f>
        <v>0</v>
      </c>
      <c r="W88" s="291">
        <f>V88</f>
        <v>0</v>
      </c>
      <c r="X88" s="291">
        <f t="shared" ref="X88:AG88" si="126">W88</f>
        <v>0</v>
      </c>
      <c r="Y88" s="291">
        <f t="shared" si="126"/>
        <v>0</v>
      </c>
      <c r="Z88" s="291">
        <f t="shared" si="126"/>
        <v>0</v>
      </c>
      <c r="AA88" s="291">
        <f t="shared" si="126"/>
        <v>0</v>
      </c>
      <c r="AB88" s="291">
        <f t="shared" si="126"/>
        <v>0</v>
      </c>
      <c r="AC88" s="291">
        <f t="shared" si="126"/>
        <v>0</v>
      </c>
      <c r="AD88" s="291">
        <f t="shared" si="126"/>
        <v>0</v>
      </c>
      <c r="AE88" s="291">
        <f t="shared" si="126"/>
        <v>0</v>
      </c>
      <c r="AF88" s="291">
        <f t="shared" si="126"/>
        <v>0</v>
      </c>
      <c r="AG88" s="291">
        <f t="shared" si="126"/>
        <v>0</v>
      </c>
      <c r="AH88" s="291">
        <f>D88</f>
        <v>0</v>
      </c>
      <c r="AI88" s="291">
        <f>AH88</f>
        <v>0</v>
      </c>
      <c r="AJ88" s="291">
        <f t="shared" ref="AJ88:AS88" si="127">AI88</f>
        <v>0</v>
      </c>
      <c r="AK88" s="291">
        <f t="shared" si="127"/>
        <v>0</v>
      </c>
      <c r="AL88" s="291">
        <f t="shared" si="127"/>
        <v>0</v>
      </c>
      <c r="AM88" s="291">
        <f t="shared" si="127"/>
        <v>0</v>
      </c>
      <c r="AN88" s="291">
        <f t="shared" si="127"/>
        <v>0</v>
      </c>
      <c r="AO88" s="291">
        <f t="shared" si="127"/>
        <v>0</v>
      </c>
      <c r="AP88" s="291">
        <f t="shared" si="127"/>
        <v>0</v>
      </c>
      <c r="AQ88" s="291">
        <f t="shared" si="127"/>
        <v>0</v>
      </c>
      <c r="AR88" s="291">
        <f t="shared" si="127"/>
        <v>0</v>
      </c>
      <c r="AS88" s="291">
        <f t="shared" si="127"/>
        <v>0</v>
      </c>
      <c r="AT88" s="287"/>
      <c r="AU88" s="293"/>
      <c r="AV88" s="293"/>
      <c r="AW88" s="293"/>
    </row>
    <row r="89" spans="1:49" ht="17.25" customHeight="1">
      <c r="A89" s="501" t="s">
        <v>207</v>
      </c>
      <c r="B89" s="488">
        <v>0</v>
      </c>
      <c r="C89" s="488"/>
      <c r="D89" s="488"/>
      <c r="E89" s="310"/>
      <c r="F89" s="310"/>
      <c r="G89" s="310"/>
      <c r="H89" s="292"/>
      <c r="I89" s="292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287"/>
      <c r="AU89" s="293"/>
      <c r="AV89" s="293"/>
      <c r="AW89" s="293"/>
    </row>
    <row r="90" spans="1:49" s="496" customFormat="1" ht="22.5" customHeight="1">
      <c r="A90" s="469" t="s">
        <v>208</v>
      </c>
      <c r="B90" s="45"/>
      <c r="C90" s="45"/>
      <c r="D90" s="45"/>
      <c r="E90" s="296">
        <f>SUMIF($J$7:$AS$7,$E$7,$J90:$AS90)</f>
        <v>4324000</v>
      </c>
      <c r="F90" s="296">
        <f>SUMIF($J$7:$AS$7,$F$7,$J90:$AS90)</f>
        <v>11880000</v>
      </c>
      <c r="G90" s="296">
        <f>SUMIF($J$7:$AS$7,$G$7,$J90:$AS90)</f>
        <v>1485000</v>
      </c>
      <c r="H90" s="38">
        <f>IFERROR(F90/E90-1,0)</f>
        <v>1.7474560592044401</v>
      </c>
      <c r="I90" s="38">
        <f>IFERROR(G90/F90-1,0)</f>
        <v>-0.875</v>
      </c>
      <c r="J90" s="39">
        <f t="shared" ref="J90:AS90" si="128">J77+J86+J81</f>
        <v>92000</v>
      </c>
      <c r="K90" s="39">
        <f t="shared" si="128"/>
        <v>184000</v>
      </c>
      <c r="L90" s="39">
        <f t="shared" si="128"/>
        <v>276000</v>
      </c>
      <c r="M90" s="39">
        <f t="shared" si="128"/>
        <v>276000</v>
      </c>
      <c r="N90" s="39">
        <f t="shared" si="128"/>
        <v>276000</v>
      </c>
      <c r="O90" s="39">
        <f t="shared" si="128"/>
        <v>460000</v>
      </c>
      <c r="P90" s="39">
        <f t="shared" si="128"/>
        <v>460000</v>
      </c>
      <c r="Q90" s="39">
        <f t="shared" si="128"/>
        <v>460000</v>
      </c>
      <c r="R90" s="39">
        <f t="shared" si="128"/>
        <v>460000</v>
      </c>
      <c r="S90" s="39">
        <f t="shared" si="128"/>
        <v>460000</v>
      </c>
      <c r="T90" s="39">
        <f t="shared" si="128"/>
        <v>460000</v>
      </c>
      <c r="U90" s="39">
        <f t="shared" si="128"/>
        <v>460000</v>
      </c>
      <c r="V90" s="39">
        <f t="shared" si="128"/>
        <v>990000</v>
      </c>
      <c r="W90" s="39">
        <f t="shared" si="128"/>
        <v>990000</v>
      </c>
      <c r="X90" s="39">
        <f t="shared" si="128"/>
        <v>990000</v>
      </c>
      <c r="Y90" s="39">
        <f t="shared" si="128"/>
        <v>990000</v>
      </c>
      <c r="Z90" s="39">
        <f t="shared" si="128"/>
        <v>990000</v>
      </c>
      <c r="AA90" s="39">
        <f t="shared" si="128"/>
        <v>990000</v>
      </c>
      <c r="AB90" s="39">
        <f t="shared" si="128"/>
        <v>990000</v>
      </c>
      <c r="AC90" s="39">
        <f t="shared" si="128"/>
        <v>990000</v>
      </c>
      <c r="AD90" s="39">
        <f t="shared" si="128"/>
        <v>990000</v>
      </c>
      <c r="AE90" s="39">
        <f t="shared" si="128"/>
        <v>990000</v>
      </c>
      <c r="AF90" s="39">
        <f t="shared" si="128"/>
        <v>990000</v>
      </c>
      <c r="AG90" s="39">
        <f t="shared" si="128"/>
        <v>990000</v>
      </c>
      <c r="AH90" s="39">
        <f t="shared" si="128"/>
        <v>1485000</v>
      </c>
      <c r="AI90" s="39">
        <f t="shared" si="128"/>
        <v>0</v>
      </c>
      <c r="AJ90" s="39">
        <f t="shared" si="128"/>
        <v>0</v>
      </c>
      <c r="AK90" s="39">
        <f t="shared" si="128"/>
        <v>0</v>
      </c>
      <c r="AL90" s="39">
        <f t="shared" si="128"/>
        <v>0</v>
      </c>
      <c r="AM90" s="39">
        <f t="shared" si="128"/>
        <v>0</v>
      </c>
      <c r="AN90" s="39">
        <f t="shared" si="128"/>
        <v>0</v>
      </c>
      <c r="AO90" s="39">
        <f t="shared" si="128"/>
        <v>0</v>
      </c>
      <c r="AP90" s="39">
        <f t="shared" si="128"/>
        <v>0</v>
      </c>
      <c r="AQ90" s="39">
        <f t="shared" si="128"/>
        <v>0</v>
      </c>
      <c r="AR90" s="39">
        <f t="shared" si="128"/>
        <v>0</v>
      </c>
      <c r="AS90" s="39">
        <f t="shared" si="128"/>
        <v>0</v>
      </c>
      <c r="AT90" s="297"/>
    </row>
    <row r="91" spans="1:49" s="496" customFormat="1" ht="22.5" customHeight="1">
      <c r="A91" s="469" t="s">
        <v>313</v>
      </c>
      <c r="B91" s="45"/>
      <c r="C91" s="45"/>
      <c r="D91" s="45"/>
      <c r="E91" s="296">
        <f>SUMIF($J$7:$AS$7,$E$7,$J91:$AS91)</f>
        <v>1591929</v>
      </c>
      <c r="F91" s="296">
        <f>SUMIF($J$7:$AS$7,$F$7,$J91:$AS91)</f>
        <v>3888540</v>
      </c>
      <c r="G91" s="296">
        <f>SUMIF($J$7:$AS$7,$G$7,$J91:$AS91)</f>
        <v>5305499.9999999991</v>
      </c>
      <c r="H91" s="38">
        <f>IFERROR(F91/E91-1,0)</f>
        <v>1.4426591889462408</v>
      </c>
      <c r="I91" s="38">
        <f>IFERROR(G91/F91-1,0)</f>
        <v>0.36439383418969573</v>
      </c>
      <c r="J91" s="39">
        <f>(J59+J53+J47+J41)*$B$92</f>
        <v>54323.999999999993</v>
      </c>
      <c r="K91" s="39">
        <f t="shared" ref="K91:AS91" si="129">(K59+K53+K47+K41)*$B$92</f>
        <v>67590</v>
      </c>
      <c r="L91" s="39">
        <f t="shared" si="129"/>
        <v>94752</v>
      </c>
      <c r="M91" s="39">
        <f t="shared" si="129"/>
        <v>109232.99999999999</v>
      </c>
      <c r="N91" s="39">
        <f t="shared" si="129"/>
        <v>136395</v>
      </c>
      <c r="O91" s="39">
        <f t="shared" si="129"/>
        <v>150507</v>
      </c>
      <c r="P91" s="39">
        <f t="shared" si="129"/>
        <v>163188</v>
      </c>
      <c r="Q91" s="39">
        <f t="shared" si="129"/>
        <v>163188</v>
      </c>
      <c r="R91" s="39">
        <f t="shared" si="129"/>
        <v>163188</v>
      </c>
      <c r="S91" s="39">
        <f t="shared" si="129"/>
        <v>163188</v>
      </c>
      <c r="T91" s="39">
        <f t="shared" si="129"/>
        <v>163188</v>
      </c>
      <c r="U91" s="39">
        <f t="shared" si="129"/>
        <v>163188</v>
      </c>
      <c r="V91" s="39">
        <f t="shared" si="129"/>
        <v>324045</v>
      </c>
      <c r="W91" s="39">
        <f t="shared" si="129"/>
        <v>324045</v>
      </c>
      <c r="X91" s="39">
        <f t="shared" si="129"/>
        <v>324045</v>
      </c>
      <c r="Y91" s="39">
        <f t="shared" si="129"/>
        <v>324045</v>
      </c>
      <c r="Z91" s="39">
        <f t="shared" si="129"/>
        <v>324045</v>
      </c>
      <c r="AA91" s="39">
        <f t="shared" si="129"/>
        <v>324045</v>
      </c>
      <c r="AB91" s="39">
        <f t="shared" si="129"/>
        <v>324045</v>
      </c>
      <c r="AC91" s="39">
        <f t="shared" si="129"/>
        <v>324045</v>
      </c>
      <c r="AD91" s="39">
        <f t="shared" si="129"/>
        <v>324045</v>
      </c>
      <c r="AE91" s="39">
        <f t="shared" si="129"/>
        <v>324045</v>
      </c>
      <c r="AF91" s="39">
        <f t="shared" si="129"/>
        <v>324045</v>
      </c>
      <c r="AG91" s="39">
        <f t="shared" si="129"/>
        <v>324045</v>
      </c>
      <c r="AH91" s="39">
        <f t="shared" si="129"/>
        <v>442124.99999999994</v>
      </c>
      <c r="AI91" s="39">
        <f t="shared" si="129"/>
        <v>442124.99999999994</v>
      </c>
      <c r="AJ91" s="39">
        <f t="shared" si="129"/>
        <v>442124.99999999994</v>
      </c>
      <c r="AK91" s="39">
        <f t="shared" si="129"/>
        <v>442124.99999999994</v>
      </c>
      <c r="AL91" s="39">
        <f t="shared" si="129"/>
        <v>442124.99999999994</v>
      </c>
      <c r="AM91" s="39">
        <f t="shared" si="129"/>
        <v>442124.99999999994</v>
      </c>
      <c r="AN91" s="39">
        <f t="shared" si="129"/>
        <v>442124.99999999994</v>
      </c>
      <c r="AO91" s="39">
        <f t="shared" si="129"/>
        <v>442124.99999999994</v>
      </c>
      <c r="AP91" s="39">
        <f t="shared" si="129"/>
        <v>442124.99999999994</v>
      </c>
      <c r="AQ91" s="39">
        <f t="shared" si="129"/>
        <v>442124.99999999994</v>
      </c>
      <c r="AR91" s="39">
        <f t="shared" si="129"/>
        <v>442124.99999999994</v>
      </c>
      <c r="AS91" s="39">
        <f t="shared" si="129"/>
        <v>442124.99999999994</v>
      </c>
      <c r="AT91" s="297"/>
    </row>
    <row r="92" spans="1:49" ht="26.4">
      <c r="A92" s="571" t="s">
        <v>424</v>
      </c>
      <c r="B92" s="572">
        <v>8.9999999999999993E-3</v>
      </c>
      <c r="C92" s="572">
        <v>8.9999999999999993E-3</v>
      </c>
      <c r="D92" s="572">
        <v>8.9999999999999993E-3</v>
      </c>
      <c r="E92" s="511"/>
      <c r="F92" s="511"/>
      <c r="G92" s="511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</row>
    <row r="93" spans="1:49">
      <c r="B93" s="1"/>
      <c r="C93" s="1"/>
      <c r="D93" s="1"/>
      <c r="E93" s="511"/>
      <c r="F93" s="511"/>
      <c r="G93" s="511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</row>
    <row r="94" spans="1:49">
      <c r="B94" s="1"/>
      <c r="C94" s="1"/>
      <c r="D94" s="1"/>
      <c r="E94" s="511"/>
      <c r="F94" s="511"/>
      <c r="G94" s="511"/>
      <c r="J94" s="328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</row>
    <row r="95" spans="1:49">
      <c r="B95" s="1"/>
      <c r="C95" s="1"/>
      <c r="D95" s="1"/>
      <c r="E95" s="511"/>
      <c r="F95" s="511"/>
      <c r="G95" s="511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</row>
    <row r="96" spans="1:49">
      <c r="B96" s="1"/>
      <c r="C96" s="1"/>
      <c r="D96" s="1"/>
      <c r="E96" s="511"/>
      <c r="F96" s="511"/>
      <c r="G96" s="511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</row>
  </sheetData>
  <pageMargins left="0.27559055118110237" right="0.19685039370078741" top="0.35433070866141736" bottom="0.31496062992125984" header="0.31496062992125984" footer="0.31496062992125984"/>
  <pageSetup paperSize="9" scale="4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82"/>
  <sheetViews>
    <sheetView showGridLines="0" workbookViewId="0">
      <pane xSplit="2" ySplit="4" topLeftCell="C5" activePane="bottomRight" state="frozen"/>
      <selection activeCell="N63" sqref="N63"/>
      <selection pane="topRight" activeCell="N63" sqref="N63"/>
      <selection pane="bottomLeft" activeCell="N63" sqref="N63"/>
      <selection pane="bottomRight" activeCell="M9" sqref="M9"/>
    </sheetView>
  </sheetViews>
  <sheetFormatPr defaultColWidth="8.88671875" defaultRowHeight="13.8" outlineLevelCol="1"/>
  <cols>
    <col min="1" max="1" width="7.88671875" style="129" customWidth="1"/>
    <col min="2" max="2" width="36.44140625" style="129" customWidth="1"/>
    <col min="3" max="5" width="10.44140625" style="129" bestFit="1" customWidth="1"/>
    <col min="6" max="6" width="16.44140625" style="130" bestFit="1" customWidth="1"/>
    <col min="7" max="7" width="13.6640625" style="131" customWidth="1"/>
    <col min="8" max="8" width="13.6640625" style="129" customWidth="1"/>
    <col min="9" max="9" width="15.33203125" style="129" customWidth="1"/>
    <col min="10" max="10" width="18" style="132" customWidth="1"/>
    <col min="11" max="11" width="15.44140625" style="132" customWidth="1"/>
    <col min="12" max="12" width="13.88671875" style="130" customWidth="1"/>
    <col min="13" max="47" width="13.88671875" style="130" customWidth="1" outlineLevel="1"/>
    <col min="48" max="251" width="9.109375" style="129"/>
    <col min="252" max="252" width="3.109375" style="129" customWidth="1"/>
    <col min="253" max="253" width="15.88671875" style="129" customWidth="1"/>
    <col min="254" max="254" width="11.44140625" style="129" customWidth="1"/>
    <col min="255" max="256" width="16.109375" style="129" customWidth="1"/>
    <col min="257" max="257" width="12.109375" style="129" customWidth="1"/>
    <col min="258" max="258" width="7.33203125" style="129" customWidth="1"/>
    <col min="259" max="259" width="12.33203125" style="129" bestFit="1" customWidth="1"/>
    <col min="260" max="261" width="10.109375" style="129" bestFit="1" customWidth="1"/>
    <col min="262" max="262" width="9" style="129" bestFit="1" customWidth="1"/>
    <col min="263" max="263" width="8.109375" style="129" bestFit="1" customWidth="1"/>
    <col min="264" max="264" width="7.44140625" style="129" customWidth="1"/>
    <col min="265" max="265" width="10.44140625" style="129" bestFit="1" customWidth="1"/>
    <col min="266" max="268" width="9.33203125" style="129" bestFit="1" customWidth="1"/>
    <col min="269" max="269" width="9.44140625" style="129" bestFit="1" customWidth="1"/>
    <col min="270" max="271" width="9.33203125" style="129" bestFit="1" customWidth="1"/>
    <col min="272" max="272" width="10.44140625" style="129" bestFit="1" customWidth="1"/>
    <col min="273" max="274" width="9.33203125" style="129" bestFit="1" customWidth="1"/>
    <col min="275" max="275" width="9.44140625" style="129" bestFit="1" customWidth="1"/>
    <col min="276" max="276" width="9.33203125" style="129" bestFit="1" customWidth="1"/>
    <col min="277" max="277" width="10.44140625" style="129" bestFit="1" customWidth="1"/>
    <col min="278" max="507" width="9.109375" style="129"/>
    <col min="508" max="508" width="3.109375" style="129" customWidth="1"/>
    <col min="509" max="509" width="15.88671875" style="129" customWidth="1"/>
    <col min="510" max="510" width="11.44140625" style="129" customWidth="1"/>
    <col min="511" max="512" width="16.109375" style="129" customWidth="1"/>
    <col min="513" max="513" width="12.109375" style="129" customWidth="1"/>
    <col min="514" max="514" width="7.33203125" style="129" customWidth="1"/>
    <col min="515" max="515" width="12.33203125" style="129" bestFit="1" customWidth="1"/>
    <col min="516" max="517" width="10.109375" style="129" bestFit="1" customWidth="1"/>
    <col min="518" max="518" width="9" style="129" bestFit="1" customWidth="1"/>
    <col min="519" max="519" width="8.109375" style="129" bestFit="1" customWidth="1"/>
    <col min="520" max="520" width="7.44140625" style="129" customWidth="1"/>
    <col min="521" max="521" width="10.44140625" style="129" bestFit="1" customWidth="1"/>
    <col min="522" max="524" width="9.33203125" style="129" bestFit="1" customWidth="1"/>
    <col min="525" max="525" width="9.44140625" style="129" bestFit="1" customWidth="1"/>
    <col min="526" max="527" width="9.33203125" style="129" bestFit="1" customWidth="1"/>
    <col min="528" max="528" width="10.44140625" style="129" bestFit="1" customWidth="1"/>
    <col min="529" max="530" width="9.33203125" style="129" bestFit="1" customWidth="1"/>
    <col min="531" max="531" width="9.44140625" style="129" bestFit="1" customWidth="1"/>
    <col min="532" max="532" width="9.33203125" style="129" bestFit="1" customWidth="1"/>
    <col min="533" max="533" width="10.44140625" style="129" bestFit="1" customWidth="1"/>
    <col min="534" max="763" width="9.109375" style="129"/>
    <col min="764" max="764" width="3.109375" style="129" customWidth="1"/>
    <col min="765" max="765" width="15.88671875" style="129" customWidth="1"/>
    <col min="766" max="766" width="11.44140625" style="129" customWidth="1"/>
    <col min="767" max="768" width="16.109375" style="129" customWidth="1"/>
    <col min="769" max="769" width="12.109375" style="129" customWidth="1"/>
    <col min="770" max="770" width="7.33203125" style="129" customWidth="1"/>
    <col min="771" max="771" width="12.33203125" style="129" bestFit="1" customWidth="1"/>
    <col min="772" max="773" width="10.109375" style="129" bestFit="1" customWidth="1"/>
    <col min="774" max="774" width="9" style="129" bestFit="1" customWidth="1"/>
    <col min="775" max="775" width="8.109375" style="129" bestFit="1" customWidth="1"/>
    <col min="776" max="776" width="7.44140625" style="129" customWidth="1"/>
    <col min="777" max="777" width="10.44140625" style="129" bestFit="1" customWidth="1"/>
    <col min="778" max="780" width="9.33203125" style="129" bestFit="1" customWidth="1"/>
    <col min="781" max="781" width="9.44140625" style="129" bestFit="1" customWidth="1"/>
    <col min="782" max="783" width="9.33203125" style="129" bestFit="1" customWidth="1"/>
    <col min="784" max="784" width="10.44140625" style="129" bestFit="1" customWidth="1"/>
    <col min="785" max="786" width="9.33203125" style="129" bestFit="1" customWidth="1"/>
    <col min="787" max="787" width="9.44140625" style="129" bestFit="1" customWidth="1"/>
    <col min="788" max="788" width="9.33203125" style="129" bestFit="1" customWidth="1"/>
    <col min="789" max="789" width="10.44140625" style="129" bestFit="1" customWidth="1"/>
    <col min="790" max="1019" width="9.109375" style="129"/>
    <col min="1020" max="1020" width="3.109375" style="129" customWidth="1"/>
    <col min="1021" max="1021" width="15.88671875" style="129" customWidth="1"/>
    <col min="1022" max="1022" width="11.44140625" style="129" customWidth="1"/>
    <col min="1023" max="1024" width="16.109375" style="129" customWidth="1"/>
    <col min="1025" max="1025" width="12.109375" style="129" customWidth="1"/>
    <col min="1026" max="1026" width="7.33203125" style="129" customWidth="1"/>
    <col min="1027" max="1027" width="12.33203125" style="129" bestFit="1" customWidth="1"/>
    <col min="1028" max="1029" width="10.109375" style="129" bestFit="1" customWidth="1"/>
    <col min="1030" max="1030" width="9" style="129" bestFit="1" customWidth="1"/>
    <col min="1031" max="1031" width="8.109375" style="129" bestFit="1" customWidth="1"/>
    <col min="1032" max="1032" width="7.44140625" style="129" customWidth="1"/>
    <col min="1033" max="1033" width="10.44140625" style="129" bestFit="1" customWidth="1"/>
    <col min="1034" max="1036" width="9.33203125" style="129" bestFit="1" customWidth="1"/>
    <col min="1037" max="1037" width="9.44140625" style="129" bestFit="1" customWidth="1"/>
    <col min="1038" max="1039" width="9.33203125" style="129" bestFit="1" customWidth="1"/>
    <col min="1040" max="1040" width="10.44140625" style="129" bestFit="1" customWidth="1"/>
    <col min="1041" max="1042" width="9.33203125" style="129" bestFit="1" customWidth="1"/>
    <col min="1043" max="1043" width="9.44140625" style="129" bestFit="1" customWidth="1"/>
    <col min="1044" max="1044" width="9.33203125" style="129" bestFit="1" customWidth="1"/>
    <col min="1045" max="1045" width="10.44140625" style="129" bestFit="1" customWidth="1"/>
    <col min="1046" max="1275" width="9.109375" style="129"/>
    <col min="1276" max="1276" width="3.109375" style="129" customWidth="1"/>
    <col min="1277" max="1277" width="15.88671875" style="129" customWidth="1"/>
    <col min="1278" max="1278" width="11.44140625" style="129" customWidth="1"/>
    <col min="1279" max="1280" width="16.109375" style="129" customWidth="1"/>
    <col min="1281" max="1281" width="12.109375" style="129" customWidth="1"/>
    <col min="1282" max="1282" width="7.33203125" style="129" customWidth="1"/>
    <col min="1283" max="1283" width="12.33203125" style="129" bestFit="1" customWidth="1"/>
    <col min="1284" max="1285" width="10.109375" style="129" bestFit="1" customWidth="1"/>
    <col min="1286" max="1286" width="9" style="129" bestFit="1" customWidth="1"/>
    <col min="1287" max="1287" width="8.109375" style="129" bestFit="1" customWidth="1"/>
    <col min="1288" max="1288" width="7.44140625" style="129" customWidth="1"/>
    <col min="1289" max="1289" width="10.44140625" style="129" bestFit="1" customWidth="1"/>
    <col min="1290" max="1292" width="9.33203125" style="129" bestFit="1" customWidth="1"/>
    <col min="1293" max="1293" width="9.44140625" style="129" bestFit="1" customWidth="1"/>
    <col min="1294" max="1295" width="9.33203125" style="129" bestFit="1" customWidth="1"/>
    <col min="1296" max="1296" width="10.44140625" style="129" bestFit="1" customWidth="1"/>
    <col min="1297" max="1298" width="9.33203125" style="129" bestFit="1" customWidth="1"/>
    <col min="1299" max="1299" width="9.44140625" style="129" bestFit="1" customWidth="1"/>
    <col min="1300" max="1300" width="9.33203125" style="129" bestFit="1" customWidth="1"/>
    <col min="1301" max="1301" width="10.44140625" style="129" bestFit="1" customWidth="1"/>
    <col min="1302" max="1531" width="9.109375" style="129"/>
    <col min="1532" max="1532" width="3.109375" style="129" customWidth="1"/>
    <col min="1533" max="1533" width="15.88671875" style="129" customWidth="1"/>
    <col min="1534" max="1534" width="11.44140625" style="129" customWidth="1"/>
    <col min="1535" max="1536" width="16.109375" style="129" customWidth="1"/>
    <col min="1537" max="1537" width="12.109375" style="129" customWidth="1"/>
    <col min="1538" max="1538" width="7.33203125" style="129" customWidth="1"/>
    <col min="1539" max="1539" width="12.33203125" style="129" bestFit="1" customWidth="1"/>
    <col min="1540" max="1541" width="10.109375" style="129" bestFit="1" customWidth="1"/>
    <col min="1542" max="1542" width="9" style="129" bestFit="1" customWidth="1"/>
    <col min="1543" max="1543" width="8.109375" style="129" bestFit="1" customWidth="1"/>
    <col min="1544" max="1544" width="7.44140625" style="129" customWidth="1"/>
    <col min="1545" max="1545" width="10.44140625" style="129" bestFit="1" customWidth="1"/>
    <col min="1546" max="1548" width="9.33203125" style="129" bestFit="1" customWidth="1"/>
    <col min="1549" max="1549" width="9.44140625" style="129" bestFit="1" customWidth="1"/>
    <col min="1550" max="1551" width="9.33203125" style="129" bestFit="1" customWidth="1"/>
    <col min="1552" max="1552" width="10.44140625" style="129" bestFit="1" customWidth="1"/>
    <col min="1553" max="1554" width="9.33203125" style="129" bestFit="1" customWidth="1"/>
    <col min="1555" max="1555" width="9.44140625" style="129" bestFit="1" customWidth="1"/>
    <col min="1556" max="1556" width="9.33203125" style="129" bestFit="1" customWidth="1"/>
    <col min="1557" max="1557" width="10.44140625" style="129" bestFit="1" customWidth="1"/>
    <col min="1558" max="1787" width="9.109375" style="129"/>
    <col min="1788" max="1788" width="3.109375" style="129" customWidth="1"/>
    <col min="1789" max="1789" width="15.88671875" style="129" customWidth="1"/>
    <col min="1790" max="1790" width="11.44140625" style="129" customWidth="1"/>
    <col min="1791" max="1792" width="16.109375" style="129" customWidth="1"/>
    <col min="1793" max="1793" width="12.109375" style="129" customWidth="1"/>
    <col min="1794" max="1794" width="7.33203125" style="129" customWidth="1"/>
    <col min="1795" max="1795" width="12.33203125" style="129" bestFit="1" customWidth="1"/>
    <col min="1796" max="1797" width="10.109375" style="129" bestFit="1" customWidth="1"/>
    <col min="1798" max="1798" width="9" style="129" bestFit="1" customWidth="1"/>
    <col min="1799" max="1799" width="8.109375" style="129" bestFit="1" customWidth="1"/>
    <col min="1800" max="1800" width="7.44140625" style="129" customWidth="1"/>
    <col min="1801" max="1801" width="10.44140625" style="129" bestFit="1" customWidth="1"/>
    <col min="1802" max="1804" width="9.33203125" style="129" bestFit="1" customWidth="1"/>
    <col min="1805" max="1805" width="9.44140625" style="129" bestFit="1" customWidth="1"/>
    <col min="1806" max="1807" width="9.33203125" style="129" bestFit="1" customWidth="1"/>
    <col min="1808" max="1808" width="10.44140625" style="129" bestFit="1" customWidth="1"/>
    <col min="1809" max="1810" width="9.33203125" style="129" bestFit="1" customWidth="1"/>
    <col min="1811" max="1811" width="9.44140625" style="129" bestFit="1" customWidth="1"/>
    <col min="1812" max="1812" width="9.33203125" style="129" bestFit="1" customWidth="1"/>
    <col min="1813" max="1813" width="10.44140625" style="129" bestFit="1" customWidth="1"/>
    <col min="1814" max="2043" width="9.109375" style="129"/>
    <col min="2044" max="2044" width="3.109375" style="129" customWidth="1"/>
    <col min="2045" max="2045" width="15.88671875" style="129" customWidth="1"/>
    <col min="2046" max="2046" width="11.44140625" style="129" customWidth="1"/>
    <col min="2047" max="2048" width="16.109375" style="129" customWidth="1"/>
    <col min="2049" max="2049" width="12.109375" style="129" customWidth="1"/>
    <col min="2050" max="2050" width="7.33203125" style="129" customWidth="1"/>
    <col min="2051" max="2051" width="12.33203125" style="129" bestFit="1" customWidth="1"/>
    <col min="2052" max="2053" width="10.109375" style="129" bestFit="1" customWidth="1"/>
    <col min="2054" max="2054" width="9" style="129" bestFit="1" customWidth="1"/>
    <col min="2055" max="2055" width="8.109375" style="129" bestFit="1" customWidth="1"/>
    <col min="2056" max="2056" width="7.44140625" style="129" customWidth="1"/>
    <col min="2057" max="2057" width="10.44140625" style="129" bestFit="1" customWidth="1"/>
    <col min="2058" max="2060" width="9.33203125" style="129" bestFit="1" customWidth="1"/>
    <col min="2061" max="2061" width="9.44140625" style="129" bestFit="1" customWidth="1"/>
    <col min="2062" max="2063" width="9.33203125" style="129" bestFit="1" customWidth="1"/>
    <col min="2064" max="2064" width="10.44140625" style="129" bestFit="1" customWidth="1"/>
    <col min="2065" max="2066" width="9.33203125" style="129" bestFit="1" customWidth="1"/>
    <col min="2067" max="2067" width="9.44140625" style="129" bestFit="1" customWidth="1"/>
    <col min="2068" max="2068" width="9.33203125" style="129" bestFit="1" customWidth="1"/>
    <col min="2069" max="2069" width="10.44140625" style="129" bestFit="1" customWidth="1"/>
    <col min="2070" max="2299" width="9.109375" style="129"/>
    <col min="2300" max="2300" width="3.109375" style="129" customWidth="1"/>
    <col min="2301" max="2301" width="15.88671875" style="129" customWidth="1"/>
    <col min="2302" max="2302" width="11.44140625" style="129" customWidth="1"/>
    <col min="2303" max="2304" width="16.109375" style="129" customWidth="1"/>
    <col min="2305" max="2305" width="12.109375" style="129" customWidth="1"/>
    <col min="2306" max="2306" width="7.33203125" style="129" customWidth="1"/>
    <col min="2307" max="2307" width="12.33203125" style="129" bestFit="1" customWidth="1"/>
    <col min="2308" max="2309" width="10.109375" style="129" bestFit="1" customWidth="1"/>
    <col min="2310" max="2310" width="9" style="129" bestFit="1" customWidth="1"/>
    <col min="2311" max="2311" width="8.109375" style="129" bestFit="1" customWidth="1"/>
    <col min="2312" max="2312" width="7.44140625" style="129" customWidth="1"/>
    <col min="2313" max="2313" width="10.44140625" style="129" bestFit="1" customWidth="1"/>
    <col min="2314" max="2316" width="9.33203125" style="129" bestFit="1" customWidth="1"/>
    <col min="2317" max="2317" width="9.44140625" style="129" bestFit="1" customWidth="1"/>
    <col min="2318" max="2319" width="9.33203125" style="129" bestFit="1" customWidth="1"/>
    <col min="2320" max="2320" width="10.44140625" style="129" bestFit="1" customWidth="1"/>
    <col min="2321" max="2322" width="9.33203125" style="129" bestFit="1" customWidth="1"/>
    <col min="2323" max="2323" width="9.44140625" style="129" bestFit="1" customWidth="1"/>
    <col min="2324" max="2324" width="9.33203125" style="129" bestFit="1" customWidth="1"/>
    <col min="2325" max="2325" width="10.44140625" style="129" bestFit="1" customWidth="1"/>
    <col min="2326" max="2555" width="9.109375" style="129"/>
    <col min="2556" max="2556" width="3.109375" style="129" customWidth="1"/>
    <col min="2557" max="2557" width="15.88671875" style="129" customWidth="1"/>
    <col min="2558" max="2558" width="11.44140625" style="129" customWidth="1"/>
    <col min="2559" max="2560" width="16.109375" style="129" customWidth="1"/>
    <col min="2561" max="2561" width="12.109375" style="129" customWidth="1"/>
    <col min="2562" max="2562" width="7.33203125" style="129" customWidth="1"/>
    <col min="2563" max="2563" width="12.33203125" style="129" bestFit="1" customWidth="1"/>
    <col min="2564" max="2565" width="10.109375" style="129" bestFit="1" customWidth="1"/>
    <col min="2566" max="2566" width="9" style="129" bestFit="1" customWidth="1"/>
    <col min="2567" max="2567" width="8.109375" style="129" bestFit="1" customWidth="1"/>
    <col min="2568" max="2568" width="7.44140625" style="129" customWidth="1"/>
    <col min="2569" max="2569" width="10.44140625" style="129" bestFit="1" customWidth="1"/>
    <col min="2570" max="2572" width="9.33203125" style="129" bestFit="1" customWidth="1"/>
    <col min="2573" max="2573" width="9.44140625" style="129" bestFit="1" customWidth="1"/>
    <col min="2574" max="2575" width="9.33203125" style="129" bestFit="1" customWidth="1"/>
    <col min="2576" max="2576" width="10.44140625" style="129" bestFit="1" customWidth="1"/>
    <col min="2577" max="2578" width="9.33203125" style="129" bestFit="1" customWidth="1"/>
    <col min="2579" max="2579" width="9.44140625" style="129" bestFit="1" customWidth="1"/>
    <col min="2580" max="2580" width="9.33203125" style="129" bestFit="1" customWidth="1"/>
    <col min="2581" max="2581" width="10.44140625" style="129" bestFit="1" customWidth="1"/>
    <col min="2582" max="2811" width="9.109375" style="129"/>
    <col min="2812" max="2812" width="3.109375" style="129" customWidth="1"/>
    <col min="2813" max="2813" width="15.88671875" style="129" customWidth="1"/>
    <col min="2814" max="2814" width="11.44140625" style="129" customWidth="1"/>
    <col min="2815" max="2816" width="16.109375" style="129" customWidth="1"/>
    <col min="2817" max="2817" width="12.109375" style="129" customWidth="1"/>
    <col min="2818" max="2818" width="7.33203125" style="129" customWidth="1"/>
    <col min="2819" max="2819" width="12.33203125" style="129" bestFit="1" customWidth="1"/>
    <col min="2820" max="2821" width="10.109375" style="129" bestFit="1" customWidth="1"/>
    <col min="2822" max="2822" width="9" style="129" bestFit="1" customWidth="1"/>
    <col min="2823" max="2823" width="8.109375" style="129" bestFit="1" customWidth="1"/>
    <col min="2824" max="2824" width="7.44140625" style="129" customWidth="1"/>
    <col min="2825" max="2825" width="10.44140625" style="129" bestFit="1" customWidth="1"/>
    <col min="2826" max="2828" width="9.33203125" style="129" bestFit="1" customWidth="1"/>
    <col min="2829" max="2829" width="9.44140625" style="129" bestFit="1" customWidth="1"/>
    <col min="2830" max="2831" width="9.33203125" style="129" bestFit="1" customWidth="1"/>
    <col min="2832" max="2832" width="10.44140625" style="129" bestFit="1" customWidth="1"/>
    <col min="2833" max="2834" width="9.33203125" style="129" bestFit="1" customWidth="1"/>
    <col min="2835" max="2835" width="9.44140625" style="129" bestFit="1" customWidth="1"/>
    <col min="2836" max="2836" width="9.33203125" style="129" bestFit="1" customWidth="1"/>
    <col min="2837" max="2837" width="10.44140625" style="129" bestFit="1" customWidth="1"/>
    <col min="2838" max="3067" width="9.109375" style="129"/>
    <col min="3068" max="3068" width="3.109375" style="129" customWidth="1"/>
    <col min="3069" max="3069" width="15.88671875" style="129" customWidth="1"/>
    <col min="3070" max="3070" width="11.44140625" style="129" customWidth="1"/>
    <col min="3071" max="3072" width="16.109375" style="129" customWidth="1"/>
    <col min="3073" max="3073" width="12.109375" style="129" customWidth="1"/>
    <col min="3074" max="3074" width="7.33203125" style="129" customWidth="1"/>
    <col min="3075" max="3075" width="12.33203125" style="129" bestFit="1" customWidth="1"/>
    <col min="3076" max="3077" width="10.109375" style="129" bestFit="1" customWidth="1"/>
    <col min="3078" max="3078" width="9" style="129" bestFit="1" customWidth="1"/>
    <col min="3079" max="3079" width="8.109375" style="129" bestFit="1" customWidth="1"/>
    <col min="3080" max="3080" width="7.44140625" style="129" customWidth="1"/>
    <col min="3081" max="3081" width="10.44140625" style="129" bestFit="1" customWidth="1"/>
    <col min="3082" max="3084" width="9.33203125" style="129" bestFit="1" customWidth="1"/>
    <col min="3085" max="3085" width="9.44140625" style="129" bestFit="1" customWidth="1"/>
    <col min="3086" max="3087" width="9.33203125" style="129" bestFit="1" customWidth="1"/>
    <col min="3088" max="3088" width="10.44140625" style="129" bestFit="1" customWidth="1"/>
    <col min="3089" max="3090" width="9.33203125" style="129" bestFit="1" customWidth="1"/>
    <col min="3091" max="3091" width="9.44140625" style="129" bestFit="1" customWidth="1"/>
    <col min="3092" max="3092" width="9.33203125" style="129" bestFit="1" customWidth="1"/>
    <col min="3093" max="3093" width="10.44140625" style="129" bestFit="1" customWidth="1"/>
    <col min="3094" max="3323" width="9.109375" style="129"/>
    <col min="3324" max="3324" width="3.109375" style="129" customWidth="1"/>
    <col min="3325" max="3325" width="15.88671875" style="129" customWidth="1"/>
    <col min="3326" max="3326" width="11.44140625" style="129" customWidth="1"/>
    <col min="3327" max="3328" width="16.109375" style="129" customWidth="1"/>
    <col min="3329" max="3329" width="12.109375" style="129" customWidth="1"/>
    <col min="3330" max="3330" width="7.33203125" style="129" customWidth="1"/>
    <col min="3331" max="3331" width="12.33203125" style="129" bestFit="1" customWidth="1"/>
    <col min="3332" max="3333" width="10.109375" style="129" bestFit="1" customWidth="1"/>
    <col min="3334" max="3334" width="9" style="129" bestFit="1" customWidth="1"/>
    <col min="3335" max="3335" width="8.109375" style="129" bestFit="1" customWidth="1"/>
    <col min="3336" max="3336" width="7.44140625" style="129" customWidth="1"/>
    <col min="3337" max="3337" width="10.44140625" style="129" bestFit="1" customWidth="1"/>
    <col min="3338" max="3340" width="9.33203125" style="129" bestFit="1" customWidth="1"/>
    <col min="3341" max="3341" width="9.44140625" style="129" bestFit="1" customWidth="1"/>
    <col min="3342" max="3343" width="9.33203125" style="129" bestFit="1" customWidth="1"/>
    <col min="3344" max="3344" width="10.44140625" style="129" bestFit="1" customWidth="1"/>
    <col min="3345" max="3346" width="9.33203125" style="129" bestFit="1" customWidth="1"/>
    <col min="3347" max="3347" width="9.44140625" style="129" bestFit="1" customWidth="1"/>
    <col min="3348" max="3348" width="9.33203125" style="129" bestFit="1" customWidth="1"/>
    <col min="3349" max="3349" width="10.44140625" style="129" bestFit="1" customWidth="1"/>
    <col min="3350" max="3579" width="9.109375" style="129"/>
    <col min="3580" max="3580" width="3.109375" style="129" customWidth="1"/>
    <col min="3581" max="3581" width="15.88671875" style="129" customWidth="1"/>
    <col min="3582" max="3582" width="11.44140625" style="129" customWidth="1"/>
    <col min="3583" max="3584" width="16.109375" style="129" customWidth="1"/>
    <col min="3585" max="3585" width="12.109375" style="129" customWidth="1"/>
    <col min="3586" max="3586" width="7.33203125" style="129" customWidth="1"/>
    <col min="3587" max="3587" width="12.33203125" style="129" bestFit="1" customWidth="1"/>
    <col min="3588" max="3589" width="10.109375" style="129" bestFit="1" customWidth="1"/>
    <col min="3590" max="3590" width="9" style="129" bestFit="1" customWidth="1"/>
    <col min="3591" max="3591" width="8.109375" style="129" bestFit="1" customWidth="1"/>
    <col min="3592" max="3592" width="7.44140625" style="129" customWidth="1"/>
    <col min="3593" max="3593" width="10.44140625" style="129" bestFit="1" customWidth="1"/>
    <col min="3594" max="3596" width="9.33203125" style="129" bestFit="1" customWidth="1"/>
    <col min="3597" max="3597" width="9.44140625" style="129" bestFit="1" customWidth="1"/>
    <col min="3598" max="3599" width="9.33203125" style="129" bestFit="1" customWidth="1"/>
    <col min="3600" max="3600" width="10.44140625" style="129" bestFit="1" customWidth="1"/>
    <col min="3601" max="3602" width="9.33203125" style="129" bestFit="1" customWidth="1"/>
    <col min="3603" max="3603" width="9.44140625" style="129" bestFit="1" customWidth="1"/>
    <col min="3604" max="3604" width="9.33203125" style="129" bestFit="1" customWidth="1"/>
    <col min="3605" max="3605" width="10.44140625" style="129" bestFit="1" customWidth="1"/>
    <col min="3606" max="3835" width="9.109375" style="129"/>
    <col min="3836" max="3836" width="3.109375" style="129" customWidth="1"/>
    <col min="3837" max="3837" width="15.88671875" style="129" customWidth="1"/>
    <col min="3838" max="3838" width="11.44140625" style="129" customWidth="1"/>
    <col min="3839" max="3840" width="16.109375" style="129" customWidth="1"/>
    <col min="3841" max="3841" width="12.109375" style="129" customWidth="1"/>
    <col min="3842" max="3842" width="7.33203125" style="129" customWidth="1"/>
    <col min="3843" max="3843" width="12.33203125" style="129" bestFit="1" customWidth="1"/>
    <col min="3844" max="3845" width="10.109375" style="129" bestFit="1" customWidth="1"/>
    <col min="3846" max="3846" width="9" style="129" bestFit="1" customWidth="1"/>
    <col min="3847" max="3847" width="8.109375" style="129" bestFit="1" customWidth="1"/>
    <col min="3848" max="3848" width="7.44140625" style="129" customWidth="1"/>
    <col min="3849" max="3849" width="10.44140625" style="129" bestFit="1" customWidth="1"/>
    <col min="3850" max="3852" width="9.33203125" style="129" bestFit="1" customWidth="1"/>
    <col min="3853" max="3853" width="9.44140625" style="129" bestFit="1" customWidth="1"/>
    <col min="3854" max="3855" width="9.33203125" style="129" bestFit="1" customWidth="1"/>
    <col min="3856" max="3856" width="10.44140625" style="129" bestFit="1" customWidth="1"/>
    <col min="3857" max="3858" width="9.33203125" style="129" bestFit="1" customWidth="1"/>
    <col min="3859" max="3859" width="9.44140625" style="129" bestFit="1" customWidth="1"/>
    <col min="3860" max="3860" width="9.33203125" style="129" bestFit="1" customWidth="1"/>
    <col min="3861" max="3861" width="10.44140625" style="129" bestFit="1" customWidth="1"/>
    <col min="3862" max="4091" width="9.109375" style="129"/>
    <col min="4092" max="4092" width="3.109375" style="129" customWidth="1"/>
    <col min="4093" max="4093" width="15.88671875" style="129" customWidth="1"/>
    <col min="4094" max="4094" width="11.44140625" style="129" customWidth="1"/>
    <col min="4095" max="4096" width="16.109375" style="129" customWidth="1"/>
    <col min="4097" max="4097" width="12.109375" style="129" customWidth="1"/>
    <col min="4098" max="4098" width="7.33203125" style="129" customWidth="1"/>
    <col min="4099" max="4099" width="12.33203125" style="129" bestFit="1" customWidth="1"/>
    <col min="4100" max="4101" width="10.109375" style="129" bestFit="1" customWidth="1"/>
    <col min="4102" max="4102" width="9" style="129" bestFit="1" customWidth="1"/>
    <col min="4103" max="4103" width="8.109375" style="129" bestFit="1" customWidth="1"/>
    <col min="4104" max="4104" width="7.44140625" style="129" customWidth="1"/>
    <col min="4105" max="4105" width="10.44140625" style="129" bestFit="1" customWidth="1"/>
    <col min="4106" max="4108" width="9.33203125" style="129" bestFit="1" customWidth="1"/>
    <col min="4109" max="4109" width="9.44140625" style="129" bestFit="1" customWidth="1"/>
    <col min="4110" max="4111" width="9.33203125" style="129" bestFit="1" customWidth="1"/>
    <col min="4112" max="4112" width="10.44140625" style="129" bestFit="1" customWidth="1"/>
    <col min="4113" max="4114" width="9.33203125" style="129" bestFit="1" customWidth="1"/>
    <col min="4115" max="4115" width="9.44140625" style="129" bestFit="1" customWidth="1"/>
    <col min="4116" max="4116" width="9.33203125" style="129" bestFit="1" customWidth="1"/>
    <col min="4117" max="4117" width="10.44140625" style="129" bestFit="1" customWidth="1"/>
    <col min="4118" max="4347" width="9.109375" style="129"/>
    <col min="4348" max="4348" width="3.109375" style="129" customWidth="1"/>
    <col min="4349" max="4349" width="15.88671875" style="129" customWidth="1"/>
    <col min="4350" max="4350" width="11.44140625" style="129" customWidth="1"/>
    <col min="4351" max="4352" width="16.109375" style="129" customWidth="1"/>
    <col min="4353" max="4353" width="12.109375" style="129" customWidth="1"/>
    <col min="4354" max="4354" width="7.33203125" style="129" customWidth="1"/>
    <col min="4355" max="4355" width="12.33203125" style="129" bestFit="1" customWidth="1"/>
    <col min="4356" max="4357" width="10.109375" style="129" bestFit="1" customWidth="1"/>
    <col min="4358" max="4358" width="9" style="129" bestFit="1" customWidth="1"/>
    <col min="4359" max="4359" width="8.109375" style="129" bestFit="1" customWidth="1"/>
    <col min="4360" max="4360" width="7.44140625" style="129" customWidth="1"/>
    <col min="4361" max="4361" width="10.44140625" style="129" bestFit="1" customWidth="1"/>
    <col min="4362" max="4364" width="9.33203125" style="129" bestFit="1" customWidth="1"/>
    <col min="4365" max="4365" width="9.44140625" style="129" bestFit="1" customWidth="1"/>
    <col min="4366" max="4367" width="9.33203125" style="129" bestFit="1" customWidth="1"/>
    <col min="4368" max="4368" width="10.44140625" style="129" bestFit="1" customWidth="1"/>
    <col min="4369" max="4370" width="9.33203125" style="129" bestFit="1" customWidth="1"/>
    <col min="4371" max="4371" width="9.44140625" style="129" bestFit="1" customWidth="1"/>
    <col min="4372" max="4372" width="9.33203125" style="129" bestFit="1" customWidth="1"/>
    <col min="4373" max="4373" width="10.44140625" style="129" bestFit="1" customWidth="1"/>
    <col min="4374" max="4603" width="9.109375" style="129"/>
    <col min="4604" max="4604" width="3.109375" style="129" customWidth="1"/>
    <col min="4605" max="4605" width="15.88671875" style="129" customWidth="1"/>
    <col min="4606" max="4606" width="11.44140625" style="129" customWidth="1"/>
    <col min="4607" max="4608" width="16.109375" style="129" customWidth="1"/>
    <col min="4609" max="4609" width="12.109375" style="129" customWidth="1"/>
    <col min="4610" max="4610" width="7.33203125" style="129" customWidth="1"/>
    <col min="4611" max="4611" width="12.33203125" style="129" bestFit="1" customWidth="1"/>
    <col min="4612" max="4613" width="10.109375" style="129" bestFit="1" customWidth="1"/>
    <col min="4614" max="4614" width="9" style="129" bestFit="1" customWidth="1"/>
    <col min="4615" max="4615" width="8.109375" style="129" bestFit="1" customWidth="1"/>
    <col min="4616" max="4616" width="7.44140625" style="129" customWidth="1"/>
    <col min="4617" max="4617" width="10.44140625" style="129" bestFit="1" customWidth="1"/>
    <col min="4618" max="4620" width="9.33203125" style="129" bestFit="1" customWidth="1"/>
    <col min="4621" max="4621" width="9.44140625" style="129" bestFit="1" customWidth="1"/>
    <col min="4622" max="4623" width="9.33203125" style="129" bestFit="1" customWidth="1"/>
    <col min="4624" max="4624" width="10.44140625" style="129" bestFit="1" customWidth="1"/>
    <col min="4625" max="4626" width="9.33203125" style="129" bestFit="1" customWidth="1"/>
    <col min="4627" max="4627" width="9.44140625" style="129" bestFit="1" customWidth="1"/>
    <col min="4628" max="4628" width="9.33203125" style="129" bestFit="1" customWidth="1"/>
    <col min="4629" max="4629" width="10.44140625" style="129" bestFit="1" customWidth="1"/>
    <col min="4630" max="4859" width="9.109375" style="129"/>
    <col min="4860" max="4860" width="3.109375" style="129" customWidth="1"/>
    <col min="4861" max="4861" width="15.88671875" style="129" customWidth="1"/>
    <col min="4862" max="4862" width="11.44140625" style="129" customWidth="1"/>
    <col min="4863" max="4864" width="16.109375" style="129" customWidth="1"/>
    <col min="4865" max="4865" width="12.109375" style="129" customWidth="1"/>
    <col min="4866" max="4866" width="7.33203125" style="129" customWidth="1"/>
    <col min="4867" max="4867" width="12.33203125" style="129" bestFit="1" customWidth="1"/>
    <col min="4868" max="4869" width="10.109375" style="129" bestFit="1" customWidth="1"/>
    <col min="4870" max="4870" width="9" style="129" bestFit="1" customWidth="1"/>
    <col min="4871" max="4871" width="8.109375" style="129" bestFit="1" customWidth="1"/>
    <col min="4872" max="4872" width="7.44140625" style="129" customWidth="1"/>
    <col min="4873" max="4873" width="10.44140625" style="129" bestFit="1" customWidth="1"/>
    <col min="4874" max="4876" width="9.33203125" style="129" bestFit="1" customWidth="1"/>
    <col min="4877" max="4877" width="9.44140625" style="129" bestFit="1" customWidth="1"/>
    <col min="4878" max="4879" width="9.33203125" style="129" bestFit="1" customWidth="1"/>
    <col min="4880" max="4880" width="10.44140625" style="129" bestFit="1" customWidth="1"/>
    <col min="4881" max="4882" width="9.33203125" style="129" bestFit="1" customWidth="1"/>
    <col min="4883" max="4883" width="9.44140625" style="129" bestFit="1" customWidth="1"/>
    <col min="4884" max="4884" width="9.33203125" style="129" bestFit="1" customWidth="1"/>
    <col min="4885" max="4885" width="10.44140625" style="129" bestFit="1" customWidth="1"/>
    <col min="4886" max="5115" width="9.109375" style="129"/>
    <col min="5116" max="5116" width="3.109375" style="129" customWidth="1"/>
    <col min="5117" max="5117" width="15.88671875" style="129" customWidth="1"/>
    <col min="5118" max="5118" width="11.44140625" style="129" customWidth="1"/>
    <col min="5119" max="5120" width="16.109375" style="129" customWidth="1"/>
    <col min="5121" max="5121" width="12.109375" style="129" customWidth="1"/>
    <col min="5122" max="5122" width="7.33203125" style="129" customWidth="1"/>
    <col min="5123" max="5123" width="12.33203125" style="129" bestFit="1" customWidth="1"/>
    <col min="5124" max="5125" width="10.109375" style="129" bestFit="1" customWidth="1"/>
    <col min="5126" max="5126" width="9" style="129" bestFit="1" customWidth="1"/>
    <col min="5127" max="5127" width="8.109375" style="129" bestFit="1" customWidth="1"/>
    <col min="5128" max="5128" width="7.44140625" style="129" customWidth="1"/>
    <col min="5129" max="5129" width="10.44140625" style="129" bestFit="1" customWidth="1"/>
    <col min="5130" max="5132" width="9.33203125" style="129" bestFit="1" customWidth="1"/>
    <col min="5133" max="5133" width="9.44140625" style="129" bestFit="1" customWidth="1"/>
    <col min="5134" max="5135" width="9.33203125" style="129" bestFit="1" customWidth="1"/>
    <col min="5136" max="5136" width="10.44140625" style="129" bestFit="1" customWidth="1"/>
    <col min="5137" max="5138" width="9.33203125" style="129" bestFit="1" customWidth="1"/>
    <col min="5139" max="5139" width="9.44140625" style="129" bestFit="1" customWidth="1"/>
    <col min="5140" max="5140" width="9.33203125" style="129" bestFit="1" customWidth="1"/>
    <col min="5141" max="5141" width="10.44140625" style="129" bestFit="1" customWidth="1"/>
    <col min="5142" max="5371" width="9.109375" style="129"/>
    <col min="5372" max="5372" width="3.109375" style="129" customWidth="1"/>
    <col min="5373" max="5373" width="15.88671875" style="129" customWidth="1"/>
    <col min="5374" max="5374" width="11.44140625" style="129" customWidth="1"/>
    <col min="5375" max="5376" width="16.109375" style="129" customWidth="1"/>
    <col min="5377" max="5377" width="12.109375" style="129" customWidth="1"/>
    <col min="5378" max="5378" width="7.33203125" style="129" customWidth="1"/>
    <col min="5379" max="5379" width="12.33203125" style="129" bestFit="1" customWidth="1"/>
    <col min="5380" max="5381" width="10.109375" style="129" bestFit="1" customWidth="1"/>
    <col min="5382" max="5382" width="9" style="129" bestFit="1" customWidth="1"/>
    <col min="5383" max="5383" width="8.109375" style="129" bestFit="1" customWidth="1"/>
    <col min="5384" max="5384" width="7.44140625" style="129" customWidth="1"/>
    <col min="5385" max="5385" width="10.44140625" style="129" bestFit="1" customWidth="1"/>
    <col min="5386" max="5388" width="9.33203125" style="129" bestFit="1" customWidth="1"/>
    <col min="5389" max="5389" width="9.44140625" style="129" bestFit="1" customWidth="1"/>
    <col min="5390" max="5391" width="9.33203125" style="129" bestFit="1" customWidth="1"/>
    <col min="5392" max="5392" width="10.44140625" style="129" bestFit="1" customWidth="1"/>
    <col min="5393" max="5394" width="9.33203125" style="129" bestFit="1" customWidth="1"/>
    <col min="5395" max="5395" width="9.44140625" style="129" bestFit="1" customWidth="1"/>
    <col min="5396" max="5396" width="9.33203125" style="129" bestFit="1" customWidth="1"/>
    <col min="5397" max="5397" width="10.44140625" style="129" bestFit="1" customWidth="1"/>
    <col min="5398" max="5627" width="9.109375" style="129"/>
    <col min="5628" max="5628" width="3.109375" style="129" customWidth="1"/>
    <col min="5629" max="5629" width="15.88671875" style="129" customWidth="1"/>
    <col min="5630" max="5630" width="11.44140625" style="129" customWidth="1"/>
    <col min="5631" max="5632" width="16.109375" style="129" customWidth="1"/>
    <col min="5633" max="5633" width="12.109375" style="129" customWidth="1"/>
    <col min="5634" max="5634" width="7.33203125" style="129" customWidth="1"/>
    <col min="5635" max="5635" width="12.33203125" style="129" bestFit="1" customWidth="1"/>
    <col min="5636" max="5637" width="10.109375" style="129" bestFit="1" customWidth="1"/>
    <col min="5638" max="5638" width="9" style="129" bestFit="1" customWidth="1"/>
    <col min="5639" max="5639" width="8.109375" style="129" bestFit="1" customWidth="1"/>
    <col min="5640" max="5640" width="7.44140625" style="129" customWidth="1"/>
    <col min="5641" max="5641" width="10.44140625" style="129" bestFit="1" customWidth="1"/>
    <col min="5642" max="5644" width="9.33203125" style="129" bestFit="1" customWidth="1"/>
    <col min="5645" max="5645" width="9.44140625" style="129" bestFit="1" customWidth="1"/>
    <col min="5646" max="5647" width="9.33203125" style="129" bestFit="1" customWidth="1"/>
    <col min="5648" max="5648" width="10.44140625" style="129" bestFit="1" customWidth="1"/>
    <col min="5649" max="5650" width="9.33203125" style="129" bestFit="1" customWidth="1"/>
    <col min="5651" max="5651" width="9.44140625" style="129" bestFit="1" customWidth="1"/>
    <col min="5652" max="5652" width="9.33203125" style="129" bestFit="1" customWidth="1"/>
    <col min="5653" max="5653" width="10.44140625" style="129" bestFit="1" customWidth="1"/>
    <col min="5654" max="5883" width="9.109375" style="129"/>
    <col min="5884" max="5884" width="3.109375" style="129" customWidth="1"/>
    <col min="5885" max="5885" width="15.88671875" style="129" customWidth="1"/>
    <col min="5886" max="5886" width="11.44140625" style="129" customWidth="1"/>
    <col min="5887" max="5888" width="16.109375" style="129" customWidth="1"/>
    <col min="5889" max="5889" width="12.109375" style="129" customWidth="1"/>
    <col min="5890" max="5890" width="7.33203125" style="129" customWidth="1"/>
    <col min="5891" max="5891" width="12.33203125" style="129" bestFit="1" customWidth="1"/>
    <col min="5892" max="5893" width="10.109375" style="129" bestFit="1" customWidth="1"/>
    <col min="5894" max="5894" width="9" style="129" bestFit="1" customWidth="1"/>
    <col min="5895" max="5895" width="8.109375" style="129" bestFit="1" customWidth="1"/>
    <col min="5896" max="5896" width="7.44140625" style="129" customWidth="1"/>
    <col min="5897" max="5897" width="10.44140625" style="129" bestFit="1" customWidth="1"/>
    <col min="5898" max="5900" width="9.33203125" style="129" bestFit="1" customWidth="1"/>
    <col min="5901" max="5901" width="9.44140625" style="129" bestFit="1" customWidth="1"/>
    <col min="5902" max="5903" width="9.33203125" style="129" bestFit="1" customWidth="1"/>
    <col min="5904" max="5904" width="10.44140625" style="129" bestFit="1" customWidth="1"/>
    <col min="5905" max="5906" width="9.33203125" style="129" bestFit="1" customWidth="1"/>
    <col min="5907" max="5907" width="9.44140625" style="129" bestFit="1" customWidth="1"/>
    <col min="5908" max="5908" width="9.33203125" style="129" bestFit="1" customWidth="1"/>
    <col min="5909" max="5909" width="10.44140625" style="129" bestFit="1" customWidth="1"/>
    <col min="5910" max="6139" width="9.109375" style="129"/>
    <col min="6140" max="6140" width="3.109375" style="129" customWidth="1"/>
    <col min="6141" max="6141" width="15.88671875" style="129" customWidth="1"/>
    <col min="6142" max="6142" width="11.44140625" style="129" customWidth="1"/>
    <col min="6143" max="6144" width="16.109375" style="129" customWidth="1"/>
    <col min="6145" max="6145" width="12.109375" style="129" customWidth="1"/>
    <col min="6146" max="6146" width="7.33203125" style="129" customWidth="1"/>
    <col min="6147" max="6147" width="12.33203125" style="129" bestFit="1" customWidth="1"/>
    <col min="6148" max="6149" width="10.109375" style="129" bestFit="1" customWidth="1"/>
    <col min="6150" max="6150" width="9" style="129" bestFit="1" customWidth="1"/>
    <col min="6151" max="6151" width="8.109375" style="129" bestFit="1" customWidth="1"/>
    <col min="6152" max="6152" width="7.44140625" style="129" customWidth="1"/>
    <col min="6153" max="6153" width="10.44140625" style="129" bestFit="1" customWidth="1"/>
    <col min="6154" max="6156" width="9.33203125" style="129" bestFit="1" customWidth="1"/>
    <col min="6157" max="6157" width="9.44140625" style="129" bestFit="1" customWidth="1"/>
    <col min="6158" max="6159" width="9.33203125" style="129" bestFit="1" customWidth="1"/>
    <col min="6160" max="6160" width="10.44140625" style="129" bestFit="1" customWidth="1"/>
    <col min="6161" max="6162" width="9.33203125" style="129" bestFit="1" customWidth="1"/>
    <col min="6163" max="6163" width="9.44140625" style="129" bestFit="1" customWidth="1"/>
    <col min="6164" max="6164" width="9.33203125" style="129" bestFit="1" customWidth="1"/>
    <col min="6165" max="6165" width="10.44140625" style="129" bestFit="1" customWidth="1"/>
    <col min="6166" max="6395" width="9.109375" style="129"/>
    <col min="6396" max="6396" width="3.109375" style="129" customWidth="1"/>
    <col min="6397" max="6397" width="15.88671875" style="129" customWidth="1"/>
    <col min="6398" max="6398" width="11.44140625" style="129" customWidth="1"/>
    <col min="6399" max="6400" width="16.109375" style="129" customWidth="1"/>
    <col min="6401" max="6401" width="12.109375" style="129" customWidth="1"/>
    <col min="6402" max="6402" width="7.33203125" style="129" customWidth="1"/>
    <col min="6403" max="6403" width="12.33203125" style="129" bestFit="1" customWidth="1"/>
    <col min="6404" max="6405" width="10.109375" style="129" bestFit="1" customWidth="1"/>
    <col min="6406" max="6406" width="9" style="129" bestFit="1" customWidth="1"/>
    <col min="6407" max="6407" width="8.109375" style="129" bestFit="1" customWidth="1"/>
    <col min="6408" max="6408" width="7.44140625" style="129" customWidth="1"/>
    <col min="6409" max="6409" width="10.44140625" style="129" bestFit="1" customWidth="1"/>
    <col min="6410" max="6412" width="9.33203125" style="129" bestFit="1" customWidth="1"/>
    <col min="6413" max="6413" width="9.44140625" style="129" bestFit="1" customWidth="1"/>
    <col min="6414" max="6415" width="9.33203125" style="129" bestFit="1" customWidth="1"/>
    <col min="6416" max="6416" width="10.44140625" style="129" bestFit="1" customWidth="1"/>
    <col min="6417" max="6418" width="9.33203125" style="129" bestFit="1" customWidth="1"/>
    <col min="6419" max="6419" width="9.44140625" style="129" bestFit="1" customWidth="1"/>
    <col min="6420" max="6420" width="9.33203125" style="129" bestFit="1" customWidth="1"/>
    <col min="6421" max="6421" width="10.44140625" style="129" bestFit="1" customWidth="1"/>
    <col min="6422" max="6651" width="9.109375" style="129"/>
    <col min="6652" max="6652" width="3.109375" style="129" customWidth="1"/>
    <col min="6653" max="6653" width="15.88671875" style="129" customWidth="1"/>
    <col min="6654" max="6654" width="11.44140625" style="129" customWidth="1"/>
    <col min="6655" max="6656" width="16.109375" style="129" customWidth="1"/>
    <col min="6657" max="6657" width="12.109375" style="129" customWidth="1"/>
    <col min="6658" max="6658" width="7.33203125" style="129" customWidth="1"/>
    <col min="6659" max="6659" width="12.33203125" style="129" bestFit="1" customWidth="1"/>
    <col min="6660" max="6661" width="10.109375" style="129" bestFit="1" customWidth="1"/>
    <col min="6662" max="6662" width="9" style="129" bestFit="1" customWidth="1"/>
    <col min="6663" max="6663" width="8.109375" style="129" bestFit="1" customWidth="1"/>
    <col min="6664" max="6664" width="7.44140625" style="129" customWidth="1"/>
    <col min="6665" max="6665" width="10.44140625" style="129" bestFit="1" customWidth="1"/>
    <col min="6666" max="6668" width="9.33203125" style="129" bestFit="1" customWidth="1"/>
    <col min="6669" max="6669" width="9.44140625" style="129" bestFit="1" customWidth="1"/>
    <col min="6670" max="6671" width="9.33203125" style="129" bestFit="1" customWidth="1"/>
    <col min="6672" max="6672" width="10.44140625" style="129" bestFit="1" customWidth="1"/>
    <col min="6673" max="6674" width="9.33203125" style="129" bestFit="1" customWidth="1"/>
    <col min="6675" max="6675" width="9.44140625" style="129" bestFit="1" customWidth="1"/>
    <col min="6676" max="6676" width="9.33203125" style="129" bestFit="1" customWidth="1"/>
    <col min="6677" max="6677" width="10.44140625" style="129" bestFit="1" customWidth="1"/>
    <col min="6678" max="6907" width="9.109375" style="129"/>
    <col min="6908" max="6908" width="3.109375" style="129" customWidth="1"/>
    <col min="6909" max="6909" width="15.88671875" style="129" customWidth="1"/>
    <col min="6910" max="6910" width="11.44140625" style="129" customWidth="1"/>
    <col min="6911" max="6912" width="16.109375" style="129" customWidth="1"/>
    <col min="6913" max="6913" width="12.109375" style="129" customWidth="1"/>
    <col min="6914" max="6914" width="7.33203125" style="129" customWidth="1"/>
    <col min="6915" max="6915" width="12.33203125" style="129" bestFit="1" customWidth="1"/>
    <col min="6916" max="6917" width="10.109375" style="129" bestFit="1" customWidth="1"/>
    <col min="6918" max="6918" width="9" style="129" bestFit="1" customWidth="1"/>
    <col min="6919" max="6919" width="8.109375" style="129" bestFit="1" customWidth="1"/>
    <col min="6920" max="6920" width="7.44140625" style="129" customWidth="1"/>
    <col min="6921" max="6921" width="10.44140625" style="129" bestFit="1" customWidth="1"/>
    <col min="6922" max="6924" width="9.33203125" style="129" bestFit="1" customWidth="1"/>
    <col min="6925" max="6925" width="9.44140625" style="129" bestFit="1" customWidth="1"/>
    <col min="6926" max="6927" width="9.33203125" style="129" bestFit="1" customWidth="1"/>
    <col min="6928" max="6928" width="10.44140625" style="129" bestFit="1" customWidth="1"/>
    <col min="6929" max="6930" width="9.33203125" style="129" bestFit="1" customWidth="1"/>
    <col min="6931" max="6931" width="9.44140625" style="129" bestFit="1" customWidth="1"/>
    <col min="6932" max="6932" width="9.33203125" style="129" bestFit="1" customWidth="1"/>
    <col min="6933" max="6933" width="10.44140625" style="129" bestFit="1" customWidth="1"/>
    <col min="6934" max="7163" width="9.109375" style="129"/>
    <col min="7164" max="7164" width="3.109375" style="129" customWidth="1"/>
    <col min="7165" max="7165" width="15.88671875" style="129" customWidth="1"/>
    <col min="7166" max="7166" width="11.44140625" style="129" customWidth="1"/>
    <col min="7167" max="7168" width="16.109375" style="129" customWidth="1"/>
    <col min="7169" max="7169" width="12.109375" style="129" customWidth="1"/>
    <col min="7170" max="7170" width="7.33203125" style="129" customWidth="1"/>
    <col min="7171" max="7171" width="12.33203125" style="129" bestFit="1" customWidth="1"/>
    <col min="7172" max="7173" width="10.109375" style="129" bestFit="1" customWidth="1"/>
    <col min="7174" max="7174" width="9" style="129" bestFit="1" customWidth="1"/>
    <col min="7175" max="7175" width="8.109375" style="129" bestFit="1" customWidth="1"/>
    <col min="7176" max="7176" width="7.44140625" style="129" customWidth="1"/>
    <col min="7177" max="7177" width="10.44140625" style="129" bestFit="1" customWidth="1"/>
    <col min="7178" max="7180" width="9.33203125" style="129" bestFit="1" customWidth="1"/>
    <col min="7181" max="7181" width="9.44140625" style="129" bestFit="1" customWidth="1"/>
    <col min="7182" max="7183" width="9.33203125" style="129" bestFit="1" customWidth="1"/>
    <col min="7184" max="7184" width="10.44140625" style="129" bestFit="1" customWidth="1"/>
    <col min="7185" max="7186" width="9.33203125" style="129" bestFit="1" customWidth="1"/>
    <col min="7187" max="7187" width="9.44140625" style="129" bestFit="1" customWidth="1"/>
    <col min="7188" max="7188" width="9.33203125" style="129" bestFit="1" customWidth="1"/>
    <col min="7189" max="7189" width="10.44140625" style="129" bestFit="1" customWidth="1"/>
    <col min="7190" max="7419" width="9.109375" style="129"/>
    <col min="7420" max="7420" width="3.109375" style="129" customWidth="1"/>
    <col min="7421" max="7421" width="15.88671875" style="129" customWidth="1"/>
    <col min="7422" max="7422" width="11.44140625" style="129" customWidth="1"/>
    <col min="7423" max="7424" width="16.109375" style="129" customWidth="1"/>
    <col min="7425" max="7425" width="12.109375" style="129" customWidth="1"/>
    <col min="7426" max="7426" width="7.33203125" style="129" customWidth="1"/>
    <col min="7427" max="7427" width="12.33203125" style="129" bestFit="1" customWidth="1"/>
    <col min="7428" max="7429" width="10.109375" style="129" bestFit="1" customWidth="1"/>
    <col min="7430" max="7430" width="9" style="129" bestFit="1" customWidth="1"/>
    <col min="7431" max="7431" width="8.109375" style="129" bestFit="1" customWidth="1"/>
    <col min="7432" max="7432" width="7.44140625" style="129" customWidth="1"/>
    <col min="7433" max="7433" width="10.44140625" style="129" bestFit="1" customWidth="1"/>
    <col min="7434" max="7436" width="9.33203125" style="129" bestFit="1" customWidth="1"/>
    <col min="7437" max="7437" width="9.44140625" style="129" bestFit="1" customWidth="1"/>
    <col min="7438" max="7439" width="9.33203125" style="129" bestFit="1" customWidth="1"/>
    <col min="7440" max="7440" width="10.44140625" style="129" bestFit="1" customWidth="1"/>
    <col min="7441" max="7442" width="9.33203125" style="129" bestFit="1" customWidth="1"/>
    <col min="7443" max="7443" width="9.44140625" style="129" bestFit="1" customWidth="1"/>
    <col min="7444" max="7444" width="9.33203125" style="129" bestFit="1" customWidth="1"/>
    <col min="7445" max="7445" width="10.44140625" style="129" bestFit="1" customWidth="1"/>
    <col min="7446" max="7675" width="9.109375" style="129"/>
    <col min="7676" max="7676" width="3.109375" style="129" customWidth="1"/>
    <col min="7677" max="7677" width="15.88671875" style="129" customWidth="1"/>
    <col min="7678" max="7678" width="11.44140625" style="129" customWidth="1"/>
    <col min="7679" max="7680" width="16.109375" style="129" customWidth="1"/>
    <col min="7681" max="7681" width="12.109375" style="129" customWidth="1"/>
    <col min="7682" max="7682" width="7.33203125" style="129" customWidth="1"/>
    <col min="7683" max="7683" width="12.33203125" style="129" bestFit="1" customWidth="1"/>
    <col min="7684" max="7685" width="10.109375" style="129" bestFit="1" customWidth="1"/>
    <col min="7686" max="7686" width="9" style="129" bestFit="1" customWidth="1"/>
    <col min="7687" max="7687" width="8.109375" style="129" bestFit="1" customWidth="1"/>
    <col min="7688" max="7688" width="7.44140625" style="129" customWidth="1"/>
    <col min="7689" max="7689" width="10.44140625" style="129" bestFit="1" customWidth="1"/>
    <col min="7690" max="7692" width="9.33203125" style="129" bestFit="1" customWidth="1"/>
    <col min="7693" max="7693" width="9.44140625" style="129" bestFit="1" customWidth="1"/>
    <col min="7694" max="7695" width="9.33203125" style="129" bestFit="1" customWidth="1"/>
    <col min="7696" max="7696" width="10.44140625" style="129" bestFit="1" customWidth="1"/>
    <col min="7697" max="7698" width="9.33203125" style="129" bestFit="1" customWidth="1"/>
    <col min="7699" max="7699" width="9.44140625" style="129" bestFit="1" customWidth="1"/>
    <col min="7700" max="7700" width="9.33203125" style="129" bestFit="1" customWidth="1"/>
    <col min="7701" max="7701" width="10.44140625" style="129" bestFit="1" customWidth="1"/>
    <col min="7702" max="7931" width="9.109375" style="129"/>
    <col min="7932" max="7932" width="3.109375" style="129" customWidth="1"/>
    <col min="7933" max="7933" width="15.88671875" style="129" customWidth="1"/>
    <col min="7934" max="7934" width="11.44140625" style="129" customWidth="1"/>
    <col min="7935" max="7936" width="16.109375" style="129" customWidth="1"/>
    <col min="7937" max="7937" width="12.109375" style="129" customWidth="1"/>
    <col min="7938" max="7938" width="7.33203125" style="129" customWidth="1"/>
    <col min="7939" max="7939" width="12.33203125" style="129" bestFit="1" customWidth="1"/>
    <col min="7940" max="7941" width="10.109375" style="129" bestFit="1" customWidth="1"/>
    <col min="7942" max="7942" width="9" style="129" bestFit="1" customWidth="1"/>
    <col min="7943" max="7943" width="8.109375" style="129" bestFit="1" customWidth="1"/>
    <col min="7944" max="7944" width="7.44140625" style="129" customWidth="1"/>
    <col min="7945" max="7945" width="10.44140625" style="129" bestFit="1" customWidth="1"/>
    <col min="7946" max="7948" width="9.33203125" style="129" bestFit="1" customWidth="1"/>
    <col min="7949" max="7949" width="9.44140625" style="129" bestFit="1" customWidth="1"/>
    <col min="7950" max="7951" width="9.33203125" style="129" bestFit="1" customWidth="1"/>
    <col min="7952" max="7952" width="10.44140625" style="129" bestFit="1" customWidth="1"/>
    <col min="7953" max="7954" width="9.33203125" style="129" bestFit="1" customWidth="1"/>
    <col min="7955" max="7955" width="9.44140625" style="129" bestFit="1" customWidth="1"/>
    <col min="7956" max="7956" width="9.33203125" style="129" bestFit="1" customWidth="1"/>
    <col min="7957" max="7957" width="10.44140625" style="129" bestFit="1" customWidth="1"/>
    <col min="7958" max="8187" width="9.109375" style="129"/>
    <col min="8188" max="8188" width="3.109375" style="129" customWidth="1"/>
    <col min="8189" max="8189" width="15.88671875" style="129" customWidth="1"/>
    <col min="8190" max="8190" width="11.44140625" style="129" customWidth="1"/>
    <col min="8191" max="8192" width="16.109375" style="129" customWidth="1"/>
    <col min="8193" max="8193" width="12.109375" style="129" customWidth="1"/>
    <col min="8194" max="8194" width="7.33203125" style="129" customWidth="1"/>
    <col min="8195" max="8195" width="12.33203125" style="129" bestFit="1" customWidth="1"/>
    <col min="8196" max="8197" width="10.109375" style="129" bestFit="1" customWidth="1"/>
    <col min="8198" max="8198" width="9" style="129" bestFit="1" customWidth="1"/>
    <col min="8199" max="8199" width="8.109375" style="129" bestFit="1" customWidth="1"/>
    <col min="8200" max="8200" width="7.44140625" style="129" customWidth="1"/>
    <col min="8201" max="8201" width="10.44140625" style="129" bestFit="1" customWidth="1"/>
    <col min="8202" max="8204" width="9.33203125" style="129" bestFit="1" customWidth="1"/>
    <col min="8205" max="8205" width="9.44140625" style="129" bestFit="1" customWidth="1"/>
    <col min="8206" max="8207" width="9.33203125" style="129" bestFit="1" customWidth="1"/>
    <col min="8208" max="8208" width="10.44140625" style="129" bestFit="1" customWidth="1"/>
    <col min="8209" max="8210" width="9.33203125" style="129" bestFit="1" customWidth="1"/>
    <col min="8211" max="8211" width="9.44140625" style="129" bestFit="1" customWidth="1"/>
    <col min="8212" max="8212" width="9.33203125" style="129" bestFit="1" customWidth="1"/>
    <col min="8213" max="8213" width="10.44140625" style="129" bestFit="1" customWidth="1"/>
    <col min="8214" max="8443" width="9.109375" style="129"/>
    <col min="8444" max="8444" width="3.109375" style="129" customWidth="1"/>
    <col min="8445" max="8445" width="15.88671875" style="129" customWidth="1"/>
    <col min="8446" max="8446" width="11.44140625" style="129" customWidth="1"/>
    <col min="8447" max="8448" width="16.109375" style="129" customWidth="1"/>
    <col min="8449" max="8449" width="12.109375" style="129" customWidth="1"/>
    <col min="8450" max="8450" width="7.33203125" style="129" customWidth="1"/>
    <col min="8451" max="8451" width="12.33203125" style="129" bestFit="1" customWidth="1"/>
    <col min="8452" max="8453" width="10.109375" style="129" bestFit="1" customWidth="1"/>
    <col min="8454" max="8454" width="9" style="129" bestFit="1" customWidth="1"/>
    <col min="8455" max="8455" width="8.109375" style="129" bestFit="1" customWidth="1"/>
    <col min="8456" max="8456" width="7.44140625" style="129" customWidth="1"/>
    <col min="8457" max="8457" width="10.44140625" style="129" bestFit="1" customWidth="1"/>
    <col min="8458" max="8460" width="9.33203125" style="129" bestFit="1" customWidth="1"/>
    <col min="8461" max="8461" width="9.44140625" style="129" bestFit="1" customWidth="1"/>
    <col min="8462" max="8463" width="9.33203125" style="129" bestFit="1" customWidth="1"/>
    <col min="8464" max="8464" width="10.44140625" style="129" bestFit="1" customWidth="1"/>
    <col min="8465" max="8466" width="9.33203125" style="129" bestFit="1" customWidth="1"/>
    <col min="8467" max="8467" width="9.44140625" style="129" bestFit="1" customWidth="1"/>
    <col min="8468" max="8468" width="9.33203125" style="129" bestFit="1" customWidth="1"/>
    <col min="8469" max="8469" width="10.44140625" style="129" bestFit="1" customWidth="1"/>
    <col min="8470" max="8699" width="9.109375" style="129"/>
    <col min="8700" max="8700" width="3.109375" style="129" customWidth="1"/>
    <col min="8701" max="8701" width="15.88671875" style="129" customWidth="1"/>
    <col min="8702" max="8702" width="11.44140625" style="129" customWidth="1"/>
    <col min="8703" max="8704" width="16.109375" style="129" customWidth="1"/>
    <col min="8705" max="8705" width="12.109375" style="129" customWidth="1"/>
    <col min="8706" max="8706" width="7.33203125" style="129" customWidth="1"/>
    <col min="8707" max="8707" width="12.33203125" style="129" bestFit="1" customWidth="1"/>
    <col min="8708" max="8709" width="10.109375" style="129" bestFit="1" customWidth="1"/>
    <col min="8710" max="8710" width="9" style="129" bestFit="1" customWidth="1"/>
    <col min="8711" max="8711" width="8.109375" style="129" bestFit="1" customWidth="1"/>
    <col min="8712" max="8712" width="7.44140625" style="129" customWidth="1"/>
    <col min="8713" max="8713" width="10.44140625" style="129" bestFit="1" customWidth="1"/>
    <col min="8714" max="8716" width="9.33203125" style="129" bestFit="1" customWidth="1"/>
    <col min="8717" max="8717" width="9.44140625" style="129" bestFit="1" customWidth="1"/>
    <col min="8718" max="8719" width="9.33203125" style="129" bestFit="1" customWidth="1"/>
    <col min="8720" max="8720" width="10.44140625" style="129" bestFit="1" customWidth="1"/>
    <col min="8721" max="8722" width="9.33203125" style="129" bestFit="1" customWidth="1"/>
    <col min="8723" max="8723" width="9.44140625" style="129" bestFit="1" customWidth="1"/>
    <col min="8724" max="8724" width="9.33203125" style="129" bestFit="1" customWidth="1"/>
    <col min="8725" max="8725" width="10.44140625" style="129" bestFit="1" customWidth="1"/>
    <col min="8726" max="8955" width="9.109375" style="129"/>
    <col min="8956" max="8956" width="3.109375" style="129" customWidth="1"/>
    <col min="8957" max="8957" width="15.88671875" style="129" customWidth="1"/>
    <col min="8958" max="8958" width="11.44140625" style="129" customWidth="1"/>
    <col min="8959" max="8960" width="16.109375" style="129" customWidth="1"/>
    <col min="8961" max="8961" width="12.109375" style="129" customWidth="1"/>
    <col min="8962" max="8962" width="7.33203125" style="129" customWidth="1"/>
    <col min="8963" max="8963" width="12.33203125" style="129" bestFit="1" customWidth="1"/>
    <col min="8964" max="8965" width="10.109375" style="129" bestFit="1" customWidth="1"/>
    <col min="8966" max="8966" width="9" style="129" bestFit="1" customWidth="1"/>
    <col min="8967" max="8967" width="8.109375" style="129" bestFit="1" customWidth="1"/>
    <col min="8968" max="8968" width="7.44140625" style="129" customWidth="1"/>
    <col min="8969" max="8969" width="10.44140625" style="129" bestFit="1" customWidth="1"/>
    <col min="8970" max="8972" width="9.33203125" style="129" bestFit="1" customWidth="1"/>
    <col min="8973" max="8973" width="9.44140625" style="129" bestFit="1" customWidth="1"/>
    <col min="8974" max="8975" width="9.33203125" style="129" bestFit="1" customWidth="1"/>
    <col min="8976" max="8976" width="10.44140625" style="129" bestFit="1" customWidth="1"/>
    <col min="8977" max="8978" width="9.33203125" style="129" bestFit="1" customWidth="1"/>
    <col min="8979" max="8979" width="9.44140625" style="129" bestFit="1" customWidth="1"/>
    <col min="8980" max="8980" width="9.33203125" style="129" bestFit="1" customWidth="1"/>
    <col min="8981" max="8981" width="10.44140625" style="129" bestFit="1" customWidth="1"/>
    <col min="8982" max="9211" width="9.109375" style="129"/>
    <col min="9212" max="9212" width="3.109375" style="129" customWidth="1"/>
    <col min="9213" max="9213" width="15.88671875" style="129" customWidth="1"/>
    <col min="9214" max="9214" width="11.44140625" style="129" customWidth="1"/>
    <col min="9215" max="9216" width="16.109375" style="129" customWidth="1"/>
    <col min="9217" max="9217" width="12.109375" style="129" customWidth="1"/>
    <col min="9218" max="9218" width="7.33203125" style="129" customWidth="1"/>
    <col min="9219" max="9219" width="12.33203125" style="129" bestFit="1" customWidth="1"/>
    <col min="9220" max="9221" width="10.109375" style="129" bestFit="1" customWidth="1"/>
    <col min="9222" max="9222" width="9" style="129" bestFit="1" customWidth="1"/>
    <col min="9223" max="9223" width="8.109375" style="129" bestFit="1" customWidth="1"/>
    <col min="9224" max="9224" width="7.44140625" style="129" customWidth="1"/>
    <col min="9225" max="9225" width="10.44140625" style="129" bestFit="1" customWidth="1"/>
    <col min="9226" max="9228" width="9.33203125" style="129" bestFit="1" customWidth="1"/>
    <col min="9229" max="9229" width="9.44140625" style="129" bestFit="1" customWidth="1"/>
    <col min="9230" max="9231" width="9.33203125" style="129" bestFit="1" customWidth="1"/>
    <col min="9232" max="9232" width="10.44140625" style="129" bestFit="1" customWidth="1"/>
    <col min="9233" max="9234" width="9.33203125" style="129" bestFit="1" customWidth="1"/>
    <col min="9235" max="9235" width="9.44140625" style="129" bestFit="1" customWidth="1"/>
    <col min="9236" max="9236" width="9.33203125" style="129" bestFit="1" customWidth="1"/>
    <col min="9237" max="9237" width="10.44140625" style="129" bestFit="1" customWidth="1"/>
    <col min="9238" max="9467" width="9.109375" style="129"/>
    <col min="9468" max="9468" width="3.109375" style="129" customWidth="1"/>
    <col min="9469" max="9469" width="15.88671875" style="129" customWidth="1"/>
    <col min="9470" max="9470" width="11.44140625" style="129" customWidth="1"/>
    <col min="9471" max="9472" width="16.109375" style="129" customWidth="1"/>
    <col min="9473" max="9473" width="12.109375" style="129" customWidth="1"/>
    <col min="9474" max="9474" width="7.33203125" style="129" customWidth="1"/>
    <col min="9475" max="9475" width="12.33203125" style="129" bestFit="1" customWidth="1"/>
    <col min="9476" max="9477" width="10.109375" style="129" bestFit="1" customWidth="1"/>
    <col min="9478" max="9478" width="9" style="129" bestFit="1" customWidth="1"/>
    <col min="9479" max="9479" width="8.109375" style="129" bestFit="1" customWidth="1"/>
    <col min="9480" max="9480" width="7.44140625" style="129" customWidth="1"/>
    <col min="9481" max="9481" width="10.44140625" style="129" bestFit="1" customWidth="1"/>
    <col min="9482" max="9484" width="9.33203125" style="129" bestFit="1" customWidth="1"/>
    <col min="9485" max="9485" width="9.44140625" style="129" bestFit="1" customWidth="1"/>
    <col min="9486" max="9487" width="9.33203125" style="129" bestFit="1" customWidth="1"/>
    <col min="9488" max="9488" width="10.44140625" style="129" bestFit="1" customWidth="1"/>
    <col min="9489" max="9490" width="9.33203125" style="129" bestFit="1" customWidth="1"/>
    <col min="9491" max="9491" width="9.44140625" style="129" bestFit="1" customWidth="1"/>
    <col min="9492" max="9492" width="9.33203125" style="129" bestFit="1" customWidth="1"/>
    <col min="9493" max="9493" width="10.44140625" style="129" bestFit="1" customWidth="1"/>
    <col min="9494" max="9723" width="9.109375" style="129"/>
    <col min="9724" max="9724" width="3.109375" style="129" customWidth="1"/>
    <col min="9725" max="9725" width="15.88671875" style="129" customWidth="1"/>
    <col min="9726" max="9726" width="11.44140625" style="129" customWidth="1"/>
    <col min="9727" max="9728" width="16.109375" style="129" customWidth="1"/>
    <col min="9729" max="9729" width="12.109375" style="129" customWidth="1"/>
    <col min="9730" max="9730" width="7.33203125" style="129" customWidth="1"/>
    <col min="9731" max="9731" width="12.33203125" style="129" bestFit="1" customWidth="1"/>
    <col min="9732" max="9733" width="10.109375" style="129" bestFit="1" customWidth="1"/>
    <col min="9734" max="9734" width="9" style="129" bestFit="1" customWidth="1"/>
    <col min="9735" max="9735" width="8.109375" style="129" bestFit="1" customWidth="1"/>
    <col min="9736" max="9736" width="7.44140625" style="129" customWidth="1"/>
    <col min="9737" max="9737" width="10.44140625" style="129" bestFit="1" customWidth="1"/>
    <col min="9738" max="9740" width="9.33203125" style="129" bestFit="1" customWidth="1"/>
    <col min="9741" max="9741" width="9.44140625" style="129" bestFit="1" customWidth="1"/>
    <col min="9742" max="9743" width="9.33203125" style="129" bestFit="1" customWidth="1"/>
    <col min="9744" max="9744" width="10.44140625" style="129" bestFit="1" customWidth="1"/>
    <col min="9745" max="9746" width="9.33203125" style="129" bestFit="1" customWidth="1"/>
    <col min="9747" max="9747" width="9.44140625" style="129" bestFit="1" customWidth="1"/>
    <col min="9748" max="9748" width="9.33203125" style="129" bestFit="1" customWidth="1"/>
    <col min="9749" max="9749" width="10.44140625" style="129" bestFit="1" customWidth="1"/>
    <col min="9750" max="9979" width="9.109375" style="129"/>
    <col min="9980" max="9980" width="3.109375" style="129" customWidth="1"/>
    <col min="9981" max="9981" width="15.88671875" style="129" customWidth="1"/>
    <col min="9982" max="9982" width="11.44140625" style="129" customWidth="1"/>
    <col min="9983" max="9984" width="16.109375" style="129" customWidth="1"/>
    <col min="9985" max="9985" width="12.109375" style="129" customWidth="1"/>
    <col min="9986" max="9986" width="7.33203125" style="129" customWidth="1"/>
    <col min="9987" max="9987" width="12.33203125" style="129" bestFit="1" customWidth="1"/>
    <col min="9988" max="9989" width="10.109375" style="129" bestFit="1" customWidth="1"/>
    <col min="9990" max="9990" width="9" style="129" bestFit="1" customWidth="1"/>
    <col min="9991" max="9991" width="8.109375" style="129" bestFit="1" customWidth="1"/>
    <col min="9992" max="9992" width="7.44140625" style="129" customWidth="1"/>
    <col min="9993" max="9993" width="10.44140625" style="129" bestFit="1" customWidth="1"/>
    <col min="9994" max="9996" width="9.33203125" style="129" bestFit="1" customWidth="1"/>
    <col min="9997" max="9997" width="9.44140625" style="129" bestFit="1" customWidth="1"/>
    <col min="9998" max="9999" width="9.33203125" style="129" bestFit="1" customWidth="1"/>
    <col min="10000" max="10000" width="10.44140625" style="129" bestFit="1" customWidth="1"/>
    <col min="10001" max="10002" width="9.33203125" style="129" bestFit="1" customWidth="1"/>
    <col min="10003" max="10003" width="9.44140625" style="129" bestFit="1" customWidth="1"/>
    <col min="10004" max="10004" width="9.33203125" style="129" bestFit="1" customWidth="1"/>
    <col min="10005" max="10005" width="10.44140625" style="129" bestFit="1" customWidth="1"/>
    <col min="10006" max="10235" width="9.109375" style="129"/>
    <col min="10236" max="10236" width="3.109375" style="129" customWidth="1"/>
    <col min="10237" max="10237" width="15.88671875" style="129" customWidth="1"/>
    <col min="10238" max="10238" width="11.44140625" style="129" customWidth="1"/>
    <col min="10239" max="10240" width="16.109375" style="129" customWidth="1"/>
    <col min="10241" max="10241" width="12.109375" style="129" customWidth="1"/>
    <col min="10242" max="10242" width="7.33203125" style="129" customWidth="1"/>
    <col min="10243" max="10243" width="12.33203125" style="129" bestFit="1" customWidth="1"/>
    <col min="10244" max="10245" width="10.109375" style="129" bestFit="1" customWidth="1"/>
    <col min="10246" max="10246" width="9" style="129" bestFit="1" customWidth="1"/>
    <col min="10247" max="10247" width="8.109375" style="129" bestFit="1" customWidth="1"/>
    <col min="10248" max="10248" width="7.44140625" style="129" customWidth="1"/>
    <col min="10249" max="10249" width="10.44140625" style="129" bestFit="1" customWidth="1"/>
    <col min="10250" max="10252" width="9.33203125" style="129" bestFit="1" customWidth="1"/>
    <col min="10253" max="10253" width="9.44140625" style="129" bestFit="1" customWidth="1"/>
    <col min="10254" max="10255" width="9.33203125" style="129" bestFit="1" customWidth="1"/>
    <col min="10256" max="10256" width="10.44140625" style="129" bestFit="1" customWidth="1"/>
    <col min="10257" max="10258" width="9.33203125" style="129" bestFit="1" customWidth="1"/>
    <col min="10259" max="10259" width="9.44140625" style="129" bestFit="1" customWidth="1"/>
    <col min="10260" max="10260" width="9.33203125" style="129" bestFit="1" customWidth="1"/>
    <col min="10261" max="10261" width="10.44140625" style="129" bestFit="1" customWidth="1"/>
    <col min="10262" max="10491" width="9.109375" style="129"/>
    <col min="10492" max="10492" width="3.109375" style="129" customWidth="1"/>
    <col min="10493" max="10493" width="15.88671875" style="129" customWidth="1"/>
    <col min="10494" max="10494" width="11.44140625" style="129" customWidth="1"/>
    <col min="10495" max="10496" width="16.109375" style="129" customWidth="1"/>
    <col min="10497" max="10497" width="12.109375" style="129" customWidth="1"/>
    <col min="10498" max="10498" width="7.33203125" style="129" customWidth="1"/>
    <col min="10499" max="10499" width="12.33203125" style="129" bestFit="1" customWidth="1"/>
    <col min="10500" max="10501" width="10.109375" style="129" bestFit="1" customWidth="1"/>
    <col min="10502" max="10502" width="9" style="129" bestFit="1" customWidth="1"/>
    <col min="10503" max="10503" width="8.109375" style="129" bestFit="1" customWidth="1"/>
    <col min="10504" max="10504" width="7.44140625" style="129" customWidth="1"/>
    <col min="10505" max="10505" width="10.44140625" style="129" bestFit="1" customWidth="1"/>
    <col min="10506" max="10508" width="9.33203125" style="129" bestFit="1" customWidth="1"/>
    <col min="10509" max="10509" width="9.44140625" style="129" bestFit="1" customWidth="1"/>
    <col min="10510" max="10511" width="9.33203125" style="129" bestFit="1" customWidth="1"/>
    <col min="10512" max="10512" width="10.44140625" style="129" bestFit="1" customWidth="1"/>
    <col min="10513" max="10514" width="9.33203125" style="129" bestFit="1" customWidth="1"/>
    <col min="10515" max="10515" width="9.44140625" style="129" bestFit="1" customWidth="1"/>
    <col min="10516" max="10516" width="9.33203125" style="129" bestFit="1" customWidth="1"/>
    <col min="10517" max="10517" width="10.44140625" style="129" bestFit="1" customWidth="1"/>
    <col min="10518" max="10747" width="9.109375" style="129"/>
    <col min="10748" max="10748" width="3.109375" style="129" customWidth="1"/>
    <col min="10749" max="10749" width="15.88671875" style="129" customWidth="1"/>
    <col min="10750" max="10750" width="11.44140625" style="129" customWidth="1"/>
    <col min="10751" max="10752" width="16.109375" style="129" customWidth="1"/>
    <col min="10753" max="10753" width="12.109375" style="129" customWidth="1"/>
    <col min="10754" max="10754" width="7.33203125" style="129" customWidth="1"/>
    <col min="10755" max="10755" width="12.33203125" style="129" bestFit="1" customWidth="1"/>
    <col min="10756" max="10757" width="10.109375" style="129" bestFit="1" customWidth="1"/>
    <col min="10758" max="10758" width="9" style="129" bestFit="1" customWidth="1"/>
    <col min="10759" max="10759" width="8.109375" style="129" bestFit="1" customWidth="1"/>
    <col min="10760" max="10760" width="7.44140625" style="129" customWidth="1"/>
    <col min="10761" max="10761" width="10.44140625" style="129" bestFit="1" customWidth="1"/>
    <col min="10762" max="10764" width="9.33203125" style="129" bestFit="1" customWidth="1"/>
    <col min="10765" max="10765" width="9.44140625" style="129" bestFit="1" customWidth="1"/>
    <col min="10766" max="10767" width="9.33203125" style="129" bestFit="1" customWidth="1"/>
    <col min="10768" max="10768" width="10.44140625" style="129" bestFit="1" customWidth="1"/>
    <col min="10769" max="10770" width="9.33203125" style="129" bestFit="1" customWidth="1"/>
    <col min="10771" max="10771" width="9.44140625" style="129" bestFit="1" customWidth="1"/>
    <col min="10772" max="10772" width="9.33203125" style="129" bestFit="1" customWidth="1"/>
    <col min="10773" max="10773" width="10.44140625" style="129" bestFit="1" customWidth="1"/>
    <col min="10774" max="11003" width="9.109375" style="129"/>
    <col min="11004" max="11004" width="3.109375" style="129" customWidth="1"/>
    <col min="11005" max="11005" width="15.88671875" style="129" customWidth="1"/>
    <col min="11006" max="11006" width="11.44140625" style="129" customWidth="1"/>
    <col min="11007" max="11008" width="16.109375" style="129" customWidth="1"/>
    <col min="11009" max="11009" width="12.109375" style="129" customWidth="1"/>
    <col min="11010" max="11010" width="7.33203125" style="129" customWidth="1"/>
    <col min="11011" max="11011" width="12.33203125" style="129" bestFit="1" customWidth="1"/>
    <col min="11012" max="11013" width="10.109375" style="129" bestFit="1" customWidth="1"/>
    <col min="11014" max="11014" width="9" style="129" bestFit="1" customWidth="1"/>
    <col min="11015" max="11015" width="8.109375" style="129" bestFit="1" customWidth="1"/>
    <col min="11016" max="11016" width="7.44140625" style="129" customWidth="1"/>
    <col min="11017" max="11017" width="10.44140625" style="129" bestFit="1" customWidth="1"/>
    <col min="11018" max="11020" width="9.33203125" style="129" bestFit="1" customWidth="1"/>
    <col min="11021" max="11021" width="9.44140625" style="129" bestFit="1" customWidth="1"/>
    <col min="11022" max="11023" width="9.33203125" style="129" bestFit="1" customWidth="1"/>
    <col min="11024" max="11024" width="10.44140625" style="129" bestFit="1" customWidth="1"/>
    <col min="11025" max="11026" width="9.33203125" style="129" bestFit="1" customWidth="1"/>
    <col min="11027" max="11027" width="9.44140625" style="129" bestFit="1" customWidth="1"/>
    <col min="11028" max="11028" width="9.33203125" style="129" bestFit="1" customWidth="1"/>
    <col min="11029" max="11029" width="10.44140625" style="129" bestFit="1" customWidth="1"/>
    <col min="11030" max="11259" width="9.109375" style="129"/>
    <col min="11260" max="11260" width="3.109375" style="129" customWidth="1"/>
    <col min="11261" max="11261" width="15.88671875" style="129" customWidth="1"/>
    <col min="11262" max="11262" width="11.44140625" style="129" customWidth="1"/>
    <col min="11263" max="11264" width="16.109375" style="129" customWidth="1"/>
    <col min="11265" max="11265" width="12.109375" style="129" customWidth="1"/>
    <col min="11266" max="11266" width="7.33203125" style="129" customWidth="1"/>
    <col min="11267" max="11267" width="12.33203125" style="129" bestFit="1" customWidth="1"/>
    <col min="11268" max="11269" width="10.109375" style="129" bestFit="1" customWidth="1"/>
    <col min="11270" max="11270" width="9" style="129" bestFit="1" customWidth="1"/>
    <col min="11271" max="11271" width="8.109375" style="129" bestFit="1" customWidth="1"/>
    <col min="11272" max="11272" width="7.44140625" style="129" customWidth="1"/>
    <col min="11273" max="11273" width="10.44140625" style="129" bestFit="1" customWidth="1"/>
    <col min="11274" max="11276" width="9.33203125" style="129" bestFit="1" customWidth="1"/>
    <col min="11277" max="11277" width="9.44140625" style="129" bestFit="1" customWidth="1"/>
    <col min="11278" max="11279" width="9.33203125" style="129" bestFit="1" customWidth="1"/>
    <col min="11280" max="11280" width="10.44140625" style="129" bestFit="1" customWidth="1"/>
    <col min="11281" max="11282" width="9.33203125" style="129" bestFit="1" customWidth="1"/>
    <col min="11283" max="11283" width="9.44140625" style="129" bestFit="1" customWidth="1"/>
    <col min="11284" max="11284" width="9.33203125" style="129" bestFit="1" customWidth="1"/>
    <col min="11285" max="11285" width="10.44140625" style="129" bestFit="1" customWidth="1"/>
    <col min="11286" max="11515" width="9.109375" style="129"/>
    <col min="11516" max="11516" width="3.109375" style="129" customWidth="1"/>
    <col min="11517" max="11517" width="15.88671875" style="129" customWidth="1"/>
    <col min="11518" max="11518" width="11.44140625" style="129" customWidth="1"/>
    <col min="11519" max="11520" width="16.109375" style="129" customWidth="1"/>
    <col min="11521" max="11521" width="12.109375" style="129" customWidth="1"/>
    <col min="11522" max="11522" width="7.33203125" style="129" customWidth="1"/>
    <col min="11523" max="11523" width="12.33203125" style="129" bestFit="1" customWidth="1"/>
    <col min="11524" max="11525" width="10.109375" style="129" bestFit="1" customWidth="1"/>
    <col min="11526" max="11526" width="9" style="129" bestFit="1" customWidth="1"/>
    <col min="11527" max="11527" width="8.109375" style="129" bestFit="1" customWidth="1"/>
    <col min="11528" max="11528" width="7.44140625" style="129" customWidth="1"/>
    <col min="11529" max="11529" width="10.44140625" style="129" bestFit="1" customWidth="1"/>
    <col min="11530" max="11532" width="9.33203125" style="129" bestFit="1" customWidth="1"/>
    <col min="11533" max="11533" width="9.44140625" style="129" bestFit="1" customWidth="1"/>
    <col min="11534" max="11535" width="9.33203125" style="129" bestFit="1" customWidth="1"/>
    <col min="11536" max="11536" width="10.44140625" style="129" bestFit="1" customWidth="1"/>
    <col min="11537" max="11538" width="9.33203125" style="129" bestFit="1" customWidth="1"/>
    <col min="11539" max="11539" width="9.44140625" style="129" bestFit="1" customWidth="1"/>
    <col min="11540" max="11540" width="9.33203125" style="129" bestFit="1" customWidth="1"/>
    <col min="11541" max="11541" width="10.44140625" style="129" bestFit="1" customWidth="1"/>
    <col min="11542" max="11771" width="9.109375" style="129"/>
    <col min="11772" max="11772" width="3.109375" style="129" customWidth="1"/>
    <col min="11773" max="11773" width="15.88671875" style="129" customWidth="1"/>
    <col min="11774" max="11774" width="11.44140625" style="129" customWidth="1"/>
    <col min="11775" max="11776" width="16.109375" style="129" customWidth="1"/>
    <col min="11777" max="11777" width="12.109375" style="129" customWidth="1"/>
    <col min="11778" max="11778" width="7.33203125" style="129" customWidth="1"/>
    <col min="11779" max="11779" width="12.33203125" style="129" bestFit="1" customWidth="1"/>
    <col min="11780" max="11781" width="10.109375" style="129" bestFit="1" customWidth="1"/>
    <col min="11782" max="11782" width="9" style="129" bestFit="1" customWidth="1"/>
    <col min="11783" max="11783" width="8.109375" style="129" bestFit="1" customWidth="1"/>
    <col min="11784" max="11784" width="7.44140625" style="129" customWidth="1"/>
    <col min="11785" max="11785" width="10.44140625" style="129" bestFit="1" customWidth="1"/>
    <col min="11786" max="11788" width="9.33203125" style="129" bestFit="1" customWidth="1"/>
    <col min="11789" max="11789" width="9.44140625" style="129" bestFit="1" customWidth="1"/>
    <col min="11790" max="11791" width="9.33203125" style="129" bestFit="1" customWidth="1"/>
    <col min="11792" max="11792" width="10.44140625" style="129" bestFit="1" customWidth="1"/>
    <col min="11793" max="11794" width="9.33203125" style="129" bestFit="1" customWidth="1"/>
    <col min="11795" max="11795" width="9.44140625" style="129" bestFit="1" customWidth="1"/>
    <col min="11796" max="11796" width="9.33203125" style="129" bestFit="1" customWidth="1"/>
    <col min="11797" max="11797" width="10.44140625" style="129" bestFit="1" customWidth="1"/>
    <col min="11798" max="12027" width="9.109375" style="129"/>
    <col min="12028" max="12028" width="3.109375" style="129" customWidth="1"/>
    <col min="12029" max="12029" width="15.88671875" style="129" customWidth="1"/>
    <col min="12030" max="12030" width="11.44140625" style="129" customWidth="1"/>
    <col min="12031" max="12032" width="16.109375" style="129" customWidth="1"/>
    <col min="12033" max="12033" width="12.109375" style="129" customWidth="1"/>
    <col min="12034" max="12034" width="7.33203125" style="129" customWidth="1"/>
    <col min="12035" max="12035" width="12.33203125" style="129" bestFit="1" customWidth="1"/>
    <col min="12036" max="12037" width="10.109375" style="129" bestFit="1" customWidth="1"/>
    <col min="12038" max="12038" width="9" style="129" bestFit="1" customWidth="1"/>
    <col min="12039" max="12039" width="8.109375" style="129" bestFit="1" customWidth="1"/>
    <col min="12040" max="12040" width="7.44140625" style="129" customWidth="1"/>
    <col min="12041" max="12041" width="10.44140625" style="129" bestFit="1" customWidth="1"/>
    <col min="12042" max="12044" width="9.33203125" style="129" bestFit="1" customWidth="1"/>
    <col min="12045" max="12045" width="9.44140625" style="129" bestFit="1" customWidth="1"/>
    <col min="12046" max="12047" width="9.33203125" style="129" bestFit="1" customWidth="1"/>
    <col min="12048" max="12048" width="10.44140625" style="129" bestFit="1" customWidth="1"/>
    <col min="12049" max="12050" width="9.33203125" style="129" bestFit="1" customWidth="1"/>
    <col min="12051" max="12051" width="9.44140625" style="129" bestFit="1" customWidth="1"/>
    <col min="12052" max="12052" width="9.33203125" style="129" bestFit="1" customWidth="1"/>
    <col min="12053" max="12053" width="10.44140625" style="129" bestFit="1" customWidth="1"/>
    <col min="12054" max="12283" width="9.109375" style="129"/>
    <col min="12284" max="12284" width="3.109375" style="129" customWidth="1"/>
    <col min="12285" max="12285" width="15.88671875" style="129" customWidth="1"/>
    <col min="12286" max="12286" width="11.44140625" style="129" customWidth="1"/>
    <col min="12287" max="12288" width="16.109375" style="129" customWidth="1"/>
    <col min="12289" max="12289" width="12.109375" style="129" customWidth="1"/>
    <col min="12290" max="12290" width="7.33203125" style="129" customWidth="1"/>
    <col min="12291" max="12291" width="12.33203125" style="129" bestFit="1" customWidth="1"/>
    <col min="12292" max="12293" width="10.109375" style="129" bestFit="1" customWidth="1"/>
    <col min="12294" max="12294" width="9" style="129" bestFit="1" customWidth="1"/>
    <col min="12295" max="12295" width="8.109375" style="129" bestFit="1" customWidth="1"/>
    <col min="12296" max="12296" width="7.44140625" style="129" customWidth="1"/>
    <col min="12297" max="12297" width="10.44140625" style="129" bestFit="1" customWidth="1"/>
    <col min="12298" max="12300" width="9.33203125" style="129" bestFit="1" customWidth="1"/>
    <col min="12301" max="12301" width="9.44140625" style="129" bestFit="1" customWidth="1"/>
    <col min="12302" max="12303" width="9.33203125" style="129" bestFit="1" customWidth="1"/>
    <col min="12304" max="12304" width="10.44140625" style="129" bestFit="1" customWidth="1"/>
    <col min="12305" max="12306" width="9.33203125" style="129" bestFit="1" customWidth="1"/>
    <col min="12307" max="12307" width="9.44140625" style="129" bestFit="1" customWidth="1"/>
    <col min="12308" max="12308" width="9.33203125" style="129" bestFit="1" customWidth="1"/>
    <col min="12309" max="12309" width="10.44140625" style="129" bestFit="1" customWidth="1"/>
    <col min="12310" max="12539" width="9.109375" style="129"/>
    <col min="12540" max="12540" width="3.109375" style="129" customWidth="1"/>
    <col min="12541" max="12541" width="15.88671875" style="129" customWidth="1"/>
    <col min="12542" max="12542" width="11.44140625" style="129" customWidth="1"/>
    <col min="12543" max="12544" width="16.109375" style="129" customWidth="1"/>
    <col min="12545" max="12545" width="12.109375" style="129" customWidth="1"/>
    <col min="12546" max="12546" width="7.33203125" style="129" customWidth="1"/>
    <col min="12547" max="12547" width="12.33203125" style="129" bestFit="1" customWidth="1"/>
    <col min="12548" max="12549" width="10.109375" style="129" bestFit="1" customWidth="1"/>
    <col min="12550" max="12550" width="9" style="129" bestFit="1" customWidth="1"/>
    <col min="12551" max="12551" width="8.109375" style="129" bestFit="1" customWidth="1"/>
    <col min="12552" max="12552" width="7.44140625" style="129" customWidth="1"/>
    <col min="12553" max="12553" width="10.44140625" style="129" bestFit="1" customWidth="1"/>
    <col min="12554" max="12556" width="9.33203125" style="129" bestFit="1" customWidth="1"/>
    <col min="12557" max="12557" width="9.44140625" style="129" bestFit="1" customWidth="1"/>
    <col min="12558" max="12559" width="9.33203125" style="129" bestFit="1" customWidth="1"/>
    <col min="12560" max="12560" width="10.44140625" style="129" bestFit="1" customWidth="1"/>
    <col min="12561" max="12562" width="9.33203125" style="129" bestFit="1" customWidth="1"/>
    <col min="12563" max="12563" width="9.44140625" style="129" bestFit="1" customWidth="1"/>
    <col min="12564" max="12564" width="9.33203125" style="129" bestFit="1" customWidth="1"/>
    <col min="12565" max="12565" width="10.44140625" style="129" bestFit="1" customWidth="1"/>
    <col min="12566" max="12795" width="9.109375" style="129"/>
    <col min="12796" max="12796" width="3.109375" style="129" customWidth="1"/>
    <col min="12797" max="12797" width="15.88671875" style="129" customWidth="1"/>
    <col min="12798" max="12798" width="11.44140625" style="129" customWidth="1"/>
    <col min="12799" max="12800" width="16.109375" style="129" customWidth="1"/>
    <col min="12801" max="12801" width="12.109375" style="129" customWidth="1"/>
    <col min="12802" max="12802" width="7.33203125" style="129" customWidth="1"/>
    <col min="12803" max="12803" width="12.33203125" style="129" bestFit="1" customWidth="1"/>
    <col min="12804" max="12805" width="10.109375" style="129" bestFit="1" customWidth="1"/>
    <col min="12806" max="12806" width="9" style="129" bestFit="1" customWidth="1"/>
    <col min="12807" max="12807" width="8.109375" style="129" bestFit="1" customWidth="1"/>
    <col min="12808" max="12808" width="7.44140625" style="129" customWidth="1"/>
    <col min="12809" max="12809" width="10.44140625" style="129" bestFit="1" customWidth="1"/>
    <col min="12810" max="12812" width="9.33203125" style="129" bestFit="1" customWidth="1"/>
    <col min="12813" max="12813" width="9.44140625" style="129" bestFit="1" customWidth="1"/>
    <col min="12814" max="12815" width="9.33203125" style="129" bestFit="1" customWidth="1"/>
    <col min="12816" max="12816" width="10.44140625" style="129" bestFit="1" customWidth="1"/>
    <col min="12817" max="12818" width="9.33203125" style="129" bestFit="1" customWidth="1"/>
    <col min="12819" max="12819" width="9.44140625" style="129" bestFit="1" customWidth="1"/>
    <col min="12820" max="12820" width="9.33203125" style="129" bestFit="1" customWidth="1"/>
    <col min="12821" max="12821" width="10.44140625" style="129" bestFit="1" customWidth="1"/>
    <col min="12822" max="13051" width="9.109375" style="129"/>
    <col min="13052" max="13052" width="3.109375" style="129" customWidth="1"/>
    <col min="13053" max="13053" width="15.88671875" style="129" customWidth="1"/>
    <col min="13054" max="13054" width="11.44140625" style="129" customWidth="1"/>
    <col min="13055" max="13056" width="16.109375" style="129" customWidth="1"/>
    <col min="13057" max="13057" width="12.109375" style="129" customWidth="1"/>
    <col min="13058" max="13058" width="7.33203125" style="129" customWidth="1"/>
    <col min="13059" max="13059" width="12.33203125" style="129" bestFit="1" customWidth="1"/>
    <col min="13060" max="13061" width="10.109375" style="129" bestFit="1" customWidth="1"/>
    <col min="13062" max="13062" width="9" style="129" bestFit="1" customWidth="1"/>
    <col min="13063" max="13063" width="8.109375" style="129" bestFit="1" customWidth="1"/>
    <col min="13064" max="13064" width="7.44140625" style="129" customWidth="1"/>
    <col min="13065" max="13065" width="10.44140625" style="129" bestFit="1" customWidth="1"/>
    <col min="13066" max="13068" width="9.33203125" style="129" bestFit="1" customWidth="1"/>
    <col min="13069" max="13069" width="9.44140625" style="129" bestFit="1" customWidth="1"/>
    <col min="13070" max="13071" width="9.33203125" style="129" bestFit="1" customWidth="1"/>
    <col min="13072" max="13072" width="10.44140625" style="129" bestFit="1" customWidth="1"/>
    <col min="13073" max="13074" width="9.33203125" style="129" bestFit="1" customWidth="1"/>
    <col min="13075" max="13075" width="9.44140625" style="129" bestFit="1" customWidth="1"/>
    <col min="13076" max="13076" width="9.33203125" style="129" bestFit="1" customWidth="1"/>
    <col min="13077" max="13077" width="10.44140625" style="129" bestFit="1" customWidth="1"/>
    <col min="13078" max="13307" width="9.109375" style="129"/>
    <col min="13308" max="13308" width="3.109375" style="129" customWidth="1"/>
    <col min="13309" max="13309" width="15.88671875" style="129" customWidth="1"/>
    <col min="13310" max="13310" width="11.44140625" style="129" customWidth="1"/>
    <col min="13311" max="13312" width="16.109375" style="129" customWidth="1"/>
    <col min="13313" max="13313" width="12.109375" style="129" customWidth="1"/>
    <col min="13314" max="13314" width="7.33203125" style="129" customWidth="1"/>
    <col min="13315" max="13315" width="12.33203125" style="129" bestFit="1" customWidth="1"/>
    <col min="13316" max="13317" width="10.109375" style="129" bestFit="1" customWidth="1"/>
    <col min="13318" max="13318" width="9" style="129" bestFit="1" customWidth="1"/>
    <col min="13319" max="13319" width="8.109375" style="129" bestFit="1" customWidth="1"/>
    <col min="13320" max="13320" width="7.44140625" style="129" customWidth="1"/>
    <col min="13321" max="13321" width="10.44140625" style="129" bestFit="1" customWidth="1"/>
    <col min="13322" max="13324" width="9.33203125" style="129" bestFit="1" customWidth="1"/>
    <col min="13325" max="13325" width="9.44140625" style="129" bestFit="1" customWidth="1"/>
    <col min="13326" max="13327" width="9.33203125" style="129" bestFit="1" customWidth="1"/>
    <col min="13328" max="13328" width="10.44140625" style="129" bestFit="1" customWidth="1"/>
    <col min="13329" max="13330" width="9.33203125" style="129" bestFit="1" customWidth="1"/>
    <col min="13331" max="13331" width="9.44140625" style="129" bestFit="1" customWidth="1"/>
    <col min="13332" max="13332" width="9.33203125" style="129" bestFit="1" customWidth="1"/>
    <col min="13333" max="13333" width="10.44140625" style="129" bestFit="1" customWidth="1"/>
    <col min="13334" max="13563" width="9.109375" style="129"/>
    <col min="13564" max="13564" width="3.109375" style="129" customWidth="1"/>
    <col min="13565" max="13565" width="15.88671875" style="129" customWidth="1"/>
    <col min="13566" max="13566" width="11.44140625" style="129" customWidth="1"/>
    <col min="13567" max="13568" width="16.109375" style="129" customWidth="1"/>
    <col min="13569" max="13569" width="12.109375" style="129" customWidth="1"/>
    <col min="13570" max="13570" width="7.33203125" style="129" customWidth="1"/>
    <col min="13571" max="13571" width="12.33203125" style="129" bestFit="1" customWidth="1"/>
    <col min="13572" max="13573" width="10.109375" style="129" bestFit="1" customWidth="1"/>
    <col min="13574" max="13574" width="9" style="129" bestFit="1" customWidth="1"/>
    <col min="13575" max="13575" width="8.109375" style="129" bestFit="1" customWidth="1"/>
    <col min="13576" max="13576" width="7.44140625" style="129" customWidth="1"/>
    <col min="13577" max="13577" width="10.44140625" style="129" bestFit="1" customWidth="1"/>
    <col min="13578" max="13580" width="9.33203125" style="129" bestFit="1" customWidth="1"/>
    <col min="13581" max="13581" width="9.44140625" style="129" bestFit="1" customWidth="1"/>
    <col min="13582" max="13583" width="9.33203125" style="129" bestFit="1" customWidth="1"/>
    <col min="13584" max="13584" width="10.44140625" style="129" bestFit="1" customWidth="1"/>
    <col min="13585" max="13586" width="9.33203125" style="129" bestFit="1" customWidth="1"/>
    <col min="13587" max="13587" width="9.44140625" style="129" bestFit="1" customWidth="1"/>
    <col min="13588" max="13588" width="9.33203125" style="129" bestFit="1" customWidth="1"/>
    <col min="13589" max="13589" width="10.44140625" style="129" bestFit="1" customWidth="1"/>
    <col min="13590" max="13819" width="9.109375" style="129"/>
    <col min="13820" max="13820" width="3.109375" style="129" customWidth="1"/>
    <col min="13821" max="13821" width="15.88671875" style="129" customWidth="1"/>
    <col min="13822" max="13822" width="11.44140625" style="129" customWidth="1"/>
    <col min="13823" max="13824" width="16.109375" style="129" customWidth="1"/>
    <col min="13825" max="13825" width="12.109375" style="129" customWidth="1"/>
    <col min="13826" max="13826" width="7.33203125" style="129" customWidth="1"/>
    <col min="13827" max="13827" width="12.33203125" style="129" bestFit="1" customWidth="1"/>
    <col min="13828" max="13829" width="10.109375" style="129" bestFit="1" customWidth="1"/>
    <col min="13830" max="13830" width="9" style="129" bestFit="1" customWidth="1"/>
    <col min="13831" max="13831" width="8.109375" style="129" bestFit="1" customWidth="1"/>
    <col min="13832" max="13832" width="7.44140625" style="129" customWidth="1"/>
    <col min="13833" max="13833" width="10.44140625" style="129" bestFit="1" customWidth="1"/>
    <col min="13834" max="13836" width="9.33203125" style="129" bestFit="1" customWidth="1"/>
    <col min="13837" max="13837" width="9.44140625" style="129" bestFit="1" customWidth="1"/>
    <col min="13838" max="13839" width="9.33203125" style="129" bestFit="1" customWidth="1"/>
    <col min="13840" max="13840" width="10.44140625" style="129" bestFit="1" customWidth="1"/>
    <col min="13841" max="13842" width="9.33203125" style="129" bestFit="1" customWidth="1"/>
    <col min="13843" max="13843" width="9.44140625" style="129" bestFit="1" customWidth="1"/>
    <col min="13844" max="13844" width="9.33203125" style="129" bestFit="1" customWidth="1"/>
    <col min="13845" max="13845" width="10.44140625" style="129" bestFit="1" customWidth="1"/>
    <col min="13846" max="14075" width="9.109375" style="129"/>
    <col min="14076" max="14076" width="3.109375" style="129" customWidth="1"/>
    <col min="14077" max="14077" width="15.88671875" style="129" customWidth="1"/>
    <col min="14078" max="14078" width="11.44140625" style="129" customWidth="1"/>
    <col min="14079" max="14080" width="16.109375" style="129" customWidth="1"/>
    <col min="14081" max="14081" width="12.109375" style="129" customWidth="1"/>
    <col min="14082" max="14082" width="7.33203125" style="129" customWidth="1"/>
    <col min="14083" max="14083" width="12.33203125" style="129" bestFit="1" customWidth="1"/>
    <col min="14084" max="14085" width="10.109375" style="129" bestFit="1" customWidth="1"/>
    <col min="14086" max="14086" width="9" style="129" bestFit="1" customWidth="1"/>
    <col min="14087" max="14087" width="8.109375" style="129" bestFit="1" customWidth="1"/>
    <col min="14088" max="14088" width="7.44140625" style="129" customWidth="1"/>
    <col min="14089" max="14089" width="10.44140625" style="129" bestFit="1" customWidth="1"/>
    <col min="14090" max="14092" width="9.33203125" style="129" bestFit="1" customWidth="1"/>
    <col min="14093" max="14093" width="9.44140625" style="129" bestFit="1" customWidth="1"/>
    <col min="14094" max="14095" width="9.33203125" style="129" bestFit="1" customWidth="1"/>
    <col min="14096" max="14096" width="10.44140625" style="129" bestFit="1" customWidth="1"/>
    <col min="14097" max="14098" width="9.33203125" style="129" bestFit="1" customWidth="1"/>
    <col min="14099" max="14099" width="9.44140625" style="129" bestFit="1" customWidth="1"/>
    <col min="14100" max="14100" width="9.33203125" style="129" bestFit="1" customWidth="1"/>
    <col min="14101" max="14101" width="10.44140625" style="129" bestFit="1" customWidth="1"/>
    <col min="14102" max="14331" width="9.109375" style="129"/>
    <col min="14332" max="14332" width="3.109375" style="129" customWidth="1"/>
    <col min="14333" max="14333" width="15.88671875" style="129" customWidth="1"/>
    <col min="14334" max="14334" width="11.44140625" style="129" customWidth="1"/>
    <col min="14335" max="14336" width="16.109375" style="129" customWidth="1"/>
    <col min="14337" max="14337" width="12.109375" style="129" customWidth="1"/>
    <col min="14338" max="14338" width="7.33203125" style="129" customWidth="1"/>
    <col min="14339" max="14339" width="12.33203125" style="129" bestFit="1" customWidth="1"/>
    <col min="14340" max="14341" width="10.109375" style="129" bestFit="1" customWidth="1"/>
    <col min="14342" max="14342" width="9" style="129" bestFit="1" customWidth="1"/>
    <col min="14343" max="14343" width="8.109375" style="129" bestFit="1" customWidth="1"/>
    <col min="14344" max="14344" width="7.44140625" style="129" customWidth="1"/>
    <col min="14345" max="14345" width="10.44140625" style="129" bestFit="1" customWidth="1"/>
    <col min="14346" max="14348" width="9.33203125" style="129" bestFit="1" customWidth="1"/>
    <col min="14349" max="14349" width="9.44140625" style="129" bestFit="1" customWidth="1"/>
    <col min="14350" max="14351" width="9.33203125" style="129" bestFit="1" customWidth="1"/>
    <col min="14352" max="14352" width="10.44140625" style="129" bestFit="1" customWidth="1"/>
    <col min="14353" max="14354" width="9.33203125" style="129" bestFit="1" customWidth="1"/>
    <col min="14355" max="14355" width="9.44140625" style="129" bestFit="1" customWidth="1"/>
    <col min="14356" max="14356" width="9.33203125" style="129" bestFit="1" customWidth="1"/>
    <col min="14357" max="14357" width="10.44140625" style="129" bestFit="1" customWidth="1"/>
    <col min="14358" max="14587" width="9.109375" style="129"/>
    <col min="14588" max="14588" width="3.109375" style="129" customWidth="1"/>
    <col min="14589" max="14589" width="15.88671875" style="129" customWidth="1"/>
    <col min="14590" max="14590" width="11.44140625" style="129" customWidth="1"/>
    <col min="14591" max="14592" width="16.109375" style="129" customWidth="1"/>
    <col min="14593" max="14593" width="12.109375" style="129" customWidth="1"/>
    <col min="14594" max="14594" width="7.33203125" style="129" customWidth="1"/>
    <col min="14595" max="14595" width="12.33203125" style="129" bestFit="1" customWidth="1"/>
    <col min="14596" max="14597" width="10.109375" style="129" bestFit="1" customWidth="1"/>
    <col min="14598" max="14598" width="9" style="129" bestFit="1" customWidth="1"/>
    <col min="14599" max="14599" width="8.109375" style="129" bestFit="1" customWidth="1"/>
    <col min="14600" max="14600" width="7.44140625" style="129" customWidth="1"/>
    <col min="14601" max="14601" width="10.44140625" style="129" bestFit="1" customWidth="1"/>
    <col min="14602" max="14604" width="9.33203125" style="129" bestFit="1" customWidth="1"/>
    <col min="14605" max="14605" width="9.44140625" style="129" bestFit="1" customWidth="1"/>
    <col min="14606" max="14607" width="9.33203125" style="129" bestFit="1" customWidth="1"/>
    <col min="14608" max="14608" width="10.44140625" style="129" bestFit="1" customWidth="1"/>
    <col min="14609" max="14610" width="9.33203125" style="129" bestFit="1" customWidth="1"/>
    <col min="14611" max="14611" width="9.44140625" style="129" bestFit="1" customWidth="1"/>
    <col min="14612" max="14612" width="9.33203125" style="129" bestFit="1" customWidth="1"/>
    <col min="14613" max="14613" width="10.44140625" style="129" bestFit="1" customWidth="1"/>
    <col min="14614" max="14843" width="9.109375" style="129"/>
    <col min="14844" max="14844" width="3.109375" style="129" customWidth="1"/>
    <col min="14845" max="14845" width="15.88671875" style="129" customWidth="1"/>
    <col min="14846" max="14846" width="11.44140625" style="129" customWidth="1"/>
    <col min="14847" max="14848" width="16.109375" style="129" customWidth="1"/>
    <col min="14849" max="14849" width="12.109375" style="129" customWidth="1"/>
    <col min="14850" max="14850" width="7.33203125" style="129" customWidth="1"/>
    <col min="14851" max="14851" width="12.33203125" style="129" bestFit="1" customWidth="1"/>
    <col min="14852" max="14853" width="10.109375" style="129" bestFit="1" customWidth="1"/>
    <col min="14854" max="14854" width="9" style="129" bestFit="1" customWidth="1"/>
    <col min="14855" max="14855" width="8.109375" style="129" bestFit="1" customWidth="1"/>
    <col min="14856" max="14856" width="7.44140625" style="129" customWidth="1"/>
    <col min="14857" max="14857" width="10.44140625" style="129" bestFit="1" customWidth="1"/>
    <col min="14858" max="14860" width="9.33203125" style="129" bestFit="1" customWidth="1"/>
    <col min="14861" max="14861" width="9.44140625" style="129" bestFit="1" customWidth="1"/>
    <col min="14862" max="14863" width="9.33203125" style="129" bestFit="1" customWidth="1"/>
    <col min="14864" max="14864" width="10.44140625" style="129" bestFit="1" customWidth="1"/>
    <col min="14865" max="14866" width="9.33203125" style="129" bestFit="1" customWidth="1"/>
    <col min="14867" max="14867" width="9.44140625" style="129" bestFit="1" customWidth="1"/>
    <col min="14868" max="14868" width="9.33203125" style="129" bestFit="1" customWidth="1"/>
    <col min="14869" max="14869" width="10.44140625" style="129" bestFit="1" customWidth="1"/>
    <col min="14870" max="15099" width="9.109375" style="129"/>
    <col min="15100" max="15100" width="3.109375" style="129" customWidth="1"/>
    <col min="15101" max="15101" width="15.88671875" style="129" customWidth="1"/>
    <col min="15102" max="15102" width="11.44140625" style="129" customWidth="1"/>
    <col min="15103" max="15104" width="16.109375" style="129" customWidth="1"/>
    <col min="15105" max="15105" width="12.109375" style="129" customWidth="1"/>
    <col min="15106" max="15106" width="7.33203125" style="129" customWidth="1"/>
    <col min="15107" max="15107" width="12.33203125" style="129" bestFit="1" customWidth="1"/>
    <col min="15108" max="15109" width="10.109375" style="129" bestFit="1" customWidth="1"/>
    <col min="15110" max="15110" width="9" style="129" bestFit="1" customWidth="1"/>
    <col min="15111" max="15111" width="8.109375" style="129" bestFit="1" customWidth="1"/>
    <col min="15112" max="15112" width="7.44140625" style="129" customWidth="1"/>
    <col min="15113" max="15113" width="10.44140625" style="129" bestFit="1" customWidth="1"/>
    <col min="15114" max="15116" width="9.33203125" style="129" bestFit="1" customWidth="1"/>
    <col min="15117" max="15117" width="9.44140625" style="129" bestFit="1" customWidth="1"/>
    <col min="15118" max="15119" width="9.33203125" style="129" bestFit="1" customWidth="1"/>
    <col min="15120" max="15120" width="10.44140625" style="129" bestFit="1" customWidth="1"/>
    <col min="15121" max="15122" width="9.33203125" style="129" bestFit="1" customWidth="1"/>
    <col min="15123" max="15123" width="9.44140625" style="129" bestFit="1" customWidth="1"/>
    <col min="15124" max="15124" width="9.33203125" style="129" bestFit="1" customWidth="1"/>
    <col min="15125" max="15125" width="10.44140625" style="129" bestFit="1" customWidth="1"/>
    <col min="15126" max="15355" width="9.109375" style="129"/>
    <col min="15356" max="15356" width="3.109375" style="129" customWidth="1"/>
    <col min="15357" max="15357" width="15.88671875" style="129" customWidth="1"/>
    <col min="15358" max="15358" width="11.44140625" style="129" customWidth="1"/>
    <col min="15359" max="15360" width="16.109375" style="129" customWidth="1"/>
    <col min="15361" max="15361" width="12.109375" style="129" customWidth="1"/>
    <col min="15362" max="15362" width="7.33203125" style="129" customWidth="1"/>
    <col min="15363" max="15363" width="12.33203125" style="129" bestFit="1" customWidth="1"/>
    <col min="15364" max="15365" width="10.109375" style="129" bestFit="1" customWidth="1"/>
    <col min="15366" max="15366" width="9" style="129" bestFit="1" customWidth="1"/>
    <col min="15367" max="15367" width="8.109375" style="129" bestFit="1" customWidth="1"/>
    <col min="15368" max="15368" width="7.44140625" style="129" customWidth="1"/>
    <col min="15369" max="15369" width="10.44140625" style="129" bestFit="1" customWidth="1"/>
    <col min="15370" max="15372" width="9.33203125" style="129" bestFit="1" customWidth="1"/>
    <col min="15373" max="15373" width="9.44140625" style="129" bestFit="1" customWidth="1"/>
    <col min="15374" max="15375" width="9.33203125" style="129" bestFit="1" customWidth="1"/>
    <col min="15376" max="15376" width="10.44140625" style="129" bestFit="1" customWidth="1"/>
    <col min="15377" max="15378" width="9.33203125" style="129" bestFit="1" customWidth="1"/>
    <col min="15379" max="15379" width="9.44140625" style="129" bestFit="1" customWidth="1"/>
    <col min="15380" max="15380" width="9.33203125" style="129" bestFit="1" customWidth="1"/>
    <col min="15381" max="15381" width="10.44140625" style="129" bestFit="1" customWidth="1"/>
    <col min="15382" max="15611" width="9.109375" style="129"/>
    <col min="15612" max="15612" width="3.109375" style="129" customWidth="1"/>
    <col min="15613" max="15613" width="15.88671875" style="129" customWidth="1"/>
    <col min="15614" max="15614" width="11.44140625" style="129" customWidth="1"/>
    <col min="15615" max="15616" width="16.109375" style="129" customWidth="1"/>
    <col min="15617" max="15617" width="12.109375" style="129" customWidth="1"/>
    <col min="15618" max="15618" width="7.33203125" style="129" customWidth="1"/>
    <col min="15619" max="15619" width="12.33203125" style="129" bestFit="1" customWidth="1"/>
    <col min="15620" max="15621" width="10.109375" style="129" bestFit="1" customWidth="1"/>
    <col min="15622" max="15622" width="9" style="129" bestFit="1" customWidth="1"/>
    <col min="15623" max="15623" width="8.109375" style="129" bestFit="1" customWidth="1"/>
    <col min="15624" max="15624" width="7.44140625" style="129" customWidth="1"/>
    <col min="15625" max="15625" width="10.44140625" style="129" bestFit="1" customWidth="1"/>
    <col min="15626" max="15628" width="9.33203125" style="129" bestFit="1" customWidth="1"/>
    <col min="15629" max="15629" width="9.44140625" style="129" bestFit="1" customWidth="1"/>
    <col min="15630" max="15631" width="9.33203125" style="129" bestFit="1" customWidth="1"/>
    <col min="15632" max="15632" width="10.44140625" style="129" bestFit="1" customWidth="1"/>
    <col min="15633" max="15634" width="9.33203125" style="129" bestFit="1" customWidth="1"/>
    <col min="15635" max="15635" width="9.44140625" style="129" bestFit="1" customWidth="1"/>
    <col min="15636" max="15636" width="9.33203125" style="129" bestFit="1" customWidth="1"/>
    <col min="15637" max="15637" width="10.44140625" style="129" bestFit="1" customWidth="1"/>
    <col min="15638" max="15867" width="9.109375" style="129"/>
    <col min="15868" max="15868" width="3.109375" style="129" customWidth="1"/>
    <col min="15869" max="15869" width="15.88671875" style="129" customWidth="1"/>
    <col min="15870" max="15870" width="11.44140625" style="129" customWidth="1"/>
    <col min="15871" max="15872" width="16.109375" style="129" customWidth="1"/>
    <col min="15873" max="15873" width="12.109375" style="129" customWidth="1"/>
    <col min="15874" max="15874" width="7.33203125" style="129" customWidth="1"/>
    <col min="15875" max="15875" width="12.33203125" style="129" bestFit="1" customWidth="1"/>
    <col min="15876" max="15877" width="10.109375" style="129" bestFit="1" customWidth="1"/>
    <col min="15878" max="15878" width="9" style="129" bestFit="1" customWidth="1"/>
    <col min="15879" max="15879" width="8.109375" style="129" bestFit="1" customWidth="1"/>
    <col min="15880" max="15880" width="7.44140625" style="129" customWidth="1"/>
    <col min="15881" max="15881" width="10.44140625" style="129" bestFit="1" customWidth="1"/>
    <col min="15882" max="15884" width="9.33203125" style="129" bestFit="1" customWidth="1"/>
    <col min="15885" max="15885" width="9.44140625" style="129" bestFit="1" customWidth="1"/>
    <col min="15886" max="15887" width="9.33203125" style="129" bestFit="1" customWidth="1"/>
    <col min="15888" max="15888" width="10.44140625" style="129" bestFit="1" customWidth="1"/>
    <col min="15889" max="15890" width="9.33203125" style="129" bestFit="1" customWidth="1"/>
    <col min="15891" max="15891" width="9.44140625" style="129" bestFit="1" customWidth="1"/>
    <col min="15892" max="15892" width="9.33203125" style="129" bestFit="1" customWidth="1"/>
    <col min="15893" max="15893" width="10.44140625" style="129" bestFit="1" customWidth="1"/>
    <col min="15894" max="16123" width="9.109375" style="129"/>
    <col min="16124" max="16124" width="3.109375" style="129" customWidth="1"/>
    <col min="16125" max="16125" width="15.88671875" style="129" customWidth="1"/>
    <col min="16126" max="16126" width="11.44140625" style="129" customWidth="1"/>
    <col min="16127" max="16128" width="16.109375" style="129" customWidth="1"/>
    <col min="16129" max="16129" width="12.109375" style="129" customWidth="1"/>
    <col min="16130" max="16130" width="7.33203125" style="129" customWidth="1"/>
    <col min="16131" max="16131" width="12.33203125" style="129" bestFit="1" customWidth="1"/>
    <col min="16132" max="16133" width="10.109375" style="129" bestFit="1" customWidth="1"/>
    <col min="16134" max="16134" width="9" style="129" bestFit="1" customWidth="1"/>
    <col min="16135" max="16135" width="8.109375" style="129" bestFit="1" customWidth="1"/>
    <col min="16136" max="16136" width="7.44140625" style="129" customWidth="1"/>
    <col min="16137" max="16137" width="10.44140625" style="129" bestFit="1" customWidth="1"/>
    <col min="16138" max="16140" width="9.33203125" style="129" bestFit="1" customWidth="1"/>
    <col min="16141" max="16141" width="9.44140625" style="129" bestFit="1" customWidth="1"/>
    <col min="16142" max="16143" width="9.33203125" style="129" bestFit="1" customWidth="1"/>
    <col min="16144" max="16144" width="10.44140625" style="129" bestFit="1" customWidth="1"/>
    <col min="16145" max="16146" width="9.33203125" style="129" bestFit="1" customWidth="1"/>
    <col min="16147" max="16147" width="9.44140625" style="129" bestFit="1" customWidth="1"/>
    <col min="16148" max="16148" width="9.33203125" style="129" bestFit="1" customWidth="1"/>
    <col min="16149" max="16149" width="10.44140625" style="129" bestFit="1" customWidth="1"/>
    <col min="16150" max="16382" width="9.109375" style="129"/>
    <col min="16383" max="16384" width="9.109375" style="129" customWidth="1"/>
  </cols>
  <sheetData>
    <row r="1" spans="1:48">
      <c r="A1" s="128"/>
      <c r="B1" s="54" t="s">
        <v>32</v>
      </c>
    </row>
    <row r="3" spans="1:48" s="133" customFormat="1" ht="15" customHeight="1">
      <c r="B3" s="134" t="s">
        <v>119</v>
      </c>
      <c r="C3" s="136" t="s">
        <v>14</v>
      </c>
      <c r="D3" s="136" t="s">
        <v>15</v>
      </c>
      <c r="E3" s="136" t="s">
        <v>16</v>
      </c>
      <c r="F3" s="137"/>
      <c r="G3" s="136" t="s">
        <v>15</v>
      </c>
      <c r="H3" s="136" t="s">
        <v>16</v>
      </c>
      <c r="I3" s="136" t="s">
        <v>14</v>
      </c>
      <c r="J3" s="136" t="s">
        <v>15</v>
      </c>
      <c r="K3" s="136" t="s">
        <v>16</v>
      </c>
      <c r="L3" s="136" t="s">
        <v>14</v>
      </c>
      <c r="M3" s="136" t="s">
        <v>14</v>
      </c>
      <c r="N3" s="136" t="s">
        <v>14</v>
      </c>
      <c r="O3" s="136" t="s">
        <v>14</v>
      </c>
      <c r="P3" s="136" t="s">
        <v>14</v>
      </c>
      <c r="Q3" s="136" t="s">
        <v>14</v>
      </c>
      <c r="R3" s="136" t="s">
        <v>14</v>
      </c>
      <c r="S3" s="136" t="s">
        <v>14</v>
      </c>
      <c r="T3" s="136" t="s">
        <v>14</v>
      </c>
      <c r="U3" s="136" t="s">
        <v>14</v>
      </c>
      <c r="V3" s="136" t="s">
        <v>14</v>
      </c>
      <c r="W3" s="136" t="s">
        <v>14</v>
      </c>
      <c r="X3" s="136" t="s">
        <v>15</v>
      </c>
      <c r="Y3" s="136" t="s">
        <v>15</v>
      </c>
      <c r="Z3" s="136" t="s">
        <v>15</v>
      </c>
      <c r="AA3" s="136" t="s">
        <v>15</v>
      </c>
      <c r="AB3" s="136" t="s">
        <v>15</v>
      </c>
      <c r="AC3" s="136" t="s">
        <v>15</v>
      </c>
      <c r="AD3" s="136" t="s">
        <v>15</v>
      </c>
      <c r="AE3" s="136" t="s">
        <v>15</v>
      </c>
      <c r="AF3" s="136" t="s">
        <v>15</v>
      </c>
      <c r="AG3" s="136" t="s">
        <v>15</v>
      </c>
      <c r="AH3" s="136" t="s">
        <v>15</v>
      </c>
      <c r="AI3" s="136" t="s">
        <v>15</v>
      </c>
      <c r="AJ3" s="136" t="s">
        <v>16</v>
      </c>
      <c r="AK3" s="136" t="s">
        <v>16</v>
      </c>
      <c r="AL3" s="136" t="s">
        <v>16</v>
      </c>
      <c r="AM3" s="136" t="s">
        <v>16</v>
      </c>
      <c r="AN3" s="136" t="s">
        <v>16</v>
      </c>
      <c r="AO3" s="136" t="s">
        <v>16</v>
      </c>
      <c r="AP3" s="136" t="s">
        <v>16</v>
      </c>
      <c r="AQ3" s="136" t="s">
        <v>16</v>
      </c>
      <c r="AR3" s="136" t="s">
        <v>16</v>
      </c>
      <c r="AS3" s="136" t="s">
        <v>16</v>
      </c>
      <c r="AT3" s="136" t="s">
        <v>16</v>
      </c>
      <c r="AU3" s="136" t="s">
        <v>16</v>
      </c>
      <c r="AV3" s="138"/>
    </row>
    <row r="4" spans="1:48" s="139" customFormat="1" ht="27.6">
      <c r="B4" s="140" t="s">
        <v>117</v>
      </c>
      <c r="C4" s="140" t="s">
        <v>248</v>
      </c>
      <c r="D4" s="140" t="s">
        <v>248</v>
      </c>
      <c r="E4" s="140" t="s">
        <v>248</v>
      </c>
      <c r="F4" s="141"/>
      <c r="G4" s="142" t="s">
        <v>249</v>
      </c>
      <c r="H4" s="142" t="s">
        <v>249</v>
      </c>
      <c r="I4" s="143" t="s">
        <v>0</v>
      </c>
      <c r="J4" s="143" t="s">
        <v>0</v>
      </c>
      <c r="K4" s="143" t="s">
        <v>0</v>
      </c>
      <c r="L4" s="144">
        <v>1</v>
      </c>
      <c r="M4" s="144">
        <v>2</v>
      </c>
      <c r="N4" s="144">
        <v>3</v>
      </c>
      <c r="O4" s="144">
        <v>4</v>
      </c>
      <c r="P4" s="144">
        <v>5</v>
      </c>
      <c r="Q4" s="144">
        <v>6</v>
      </c>
      <c r="R4" s="144">
        <v>7</v>
      </c>
      <c r="S4" s="144">
        <v>8</v>
      </c>
      <c r="T4" s="144">
        <v>9</v>
      </c>
      <c r="U4" s="144">
        <v>10</v>
      </c>
      <c r="V4" s="144">
        <v>11</v>
      </c>
      <c r="W4" s="144">
        <v>12</v>
      </c>
      <c r="X4" s="144">
        <v>13</v>
      </c>
      <c r="Y4" s="144">
        <v>14</v>
      </c>
      <c r="Z4" s="144">
        <v>15</v>
      </c>
      <c r="AA4" s="144">
        <v>16</v>
      </c>
      <c r="AB4" s="144">
        <v>17</v>
      </c>
      <c r="AC4" s="144">
        <v>18</v>
      </c>
      <c r="AD4" s="144">
        <v>19</v>
      </c>
      <c r="AE4" s="144">
        <v>20</v>
      </c>
      <c r="AF4" s="144">
        <v>21</v>
      </c>
      <c r="AG4" s="144">
        <v>22</v>
      </c>
      <c r="AH4" s="144">
        <v>23</v>
      </c>
      <c r="AI4" s="144">
        <v>24</v>
      </c>
      <c r="AJ4" s="144">
        <v>25</v>
      </c>
      <c r="AK4" s="144">
        <v>26</v>
      </c>
      <c r="AL4" s="144">
        <v>27</v>
      </c>
      <c r="AM4" s="144">
        <v>28</v>
      </c>
      <c r="AN4" s="144">
        <v>29</v>
      </c>
      <c r="AO4" s="144">
        <v>30</v>
      </c>
      <c r="AP4" s="144">
        <v>31</v>
      </c>
      <c r="AQ4" s="144">
        <v>32</v>
      </c>
      <c r="AR4" s="144">
        <v>33</v>
      </c>
      <c r="AS4" s="144">
        <v>34</v>
      </c>
      <c r="AT4" s="144">
        <v>35</v>
      </c>
      <c r="AU4" s="144">
        <v>36</v>
      </c>
    </row>
    <row r="5" spans="1:48" s="145" customFormat="1" ht="27" customHeight="1">
      <c r="A5" s="145" t="s">
        <v>311</v>
      </c>
      <c r="B5" s="289" t="s">
        <v>303</v>
      </c>
      <c r="C5" s="342">
        <v>0.5</v>
      </c>
      <c r="D5" s="342">
        <v>0.5</v>
      </c>
      <c r="E5" s="342">
        <v>0.5</v>
      </c>
      <c r="F5" s="694"/>
      <c r="G5" s="343">
        <v>0.05</v>
      </c>
      <c r="H5" s="343">
        <v>0.05</v>
      </c>
      <c r="I5" s="695">
        <f>SUMIF($L$3:$AU$3,$I$3,$L5:$AU5)</f>
        <v>0</v>
      </c>
      <c r="J5" s="695">
        <f>SUMIF($L$3:$AU$3,$J$3,$L5:$AU5)</f>
        <v>0</v>
      </c>
      <c r="K5" s="695">
        <f>SUMIF($L$3:$AU$3,$K$3,$L5:$AU5)</f>
        <v>0</v>
      </c>
      <c r="L5" s="696">
        <f>F5*C5</f>
        <v>0</v>
      </c>
      <c r="M5" s="146">
        <f>L5</f>
        <v>0</v>
      </c>
      <c r="N5" s="146">
        <f t="shared" ref="N5:W14" si="0">M5</f>
        <v>0</v>
      </c>
      <c r="O5" s="146">
        <f t="shared" si="0"/>
        <v>0</v>
      </c>
      <c r="P5" s="146">
        <f t="shared" si="0"/>
        <v>0</v>
      </c>
      <c r="Q5" s="146">
        <f t="shared" si="0"/>
        <v>0</v>
      </c>
      <c r="R5" s="146">
        <f t="shared" si="0"/>
        <v>0</v>
      </c>
      <c r="S5" s="146">
        <f t="shared" si="0"/>
        <v>0</v>
      </c>
      <c r="T5" s="146">
        <f t="shared" si="0"/>
        <v>0</v>
      </c>
      <c r="U5" s="146">
        <f t="shared" si="0"/>
        <v>0</v>
      </c>
      <c r="V5" s="146">
        <f t="shared" si="0"/>
        <v>0</v>
      </c>
      <c r="W5" s="146">
        <f>V5</f>
        <v>0</v>
      </c>
      <c r="X5" s="146">
        <f>F5*(1+G5)*D5</f>
        <v>0</v>
      </c>
      <c r="Y5" s="146">
        <f>X5</f>
        <v>0</v>
      </c>
      <c r="Z5" s="146">
        <f t="shared" ref="Z5:AI14" si="1">Y5</f>
        <v>0</v>
      </c>
      <c r="AA5" s="146">
        <f t="shared" si="1"/>
        <v>0</v>
      </c>
      <c r="AB5" s="146">
        <f t="shared" si="1"/>
        <v>0</v>
      </c>
      <c r="AC5" s="146">
        <f t="shared" si="1"/>
        <v>0</v>
      </c>
      <c r="AD5" s="146">
        <f t="shared" si="1"/>
        <v>0</v>
      </c>
      <c r="AE5" s="146">
        <f t="shared" si="1"/>
        <v>0</v>
      </c>
      <c r="AF5" s="146">
        <f t="shared" si="1"/>
        <v>0</v>
      </c>
      <c r="AG5" s="146">
        <f t="shared" si="1"/>
        <v>0</v>
      </c>
      <c r="AH5" s="146">
        <f t="shared" si="1"/>
        <v>0</v>
      </c>
      <c r="AI5" s="146">
        <f t="shared" si="1"/>
        <v>0</v>
      </c>
      <c r="AJ5" s="146">
        <f>F5*(1+G5)*(1+H5)*E5</f>
        <v>0</v>
      </c>
      <c r="AK5" s="146">
        <f>AJ5</f>
        <v>0</v>
      </c>
      <c r="AL5" s="146">
        <f t="shared" ref="AL5:AU14" si="2">AK5</f>
        <v>0</v>
      </c>
      <c r="AM5" s="146">
        <f t="shared" si="2"/>
        <v>0</v>
      </c>
      <c r="AN5" s="146">
        <f t="shared" si="2"/>
        <v>0</v>
      </c>
      <c r="AO5" s="146">
        <f t="shared" si="2"/>
        <v>0</v>
      </c>
      <c r="AP5" s="146">
        <f t="shared" si="2"/>
        <v>0</v>
      </c>
      <c r="AQ5" s="146">
        <f t="shared" si="2"/>
        <v>0</v>
      </c>
      <c r="AR5" s="146">
        <f t="shared" si="2"/>
        <v>0</v>
      </c>
      <c r="AS5" s="146">
        <f t="shared" si="2"/>
        <v>0</v>
      </c>
      <c r="AT5" s="146">
        <f t="shared" si="2"/>
        <v>0</v>
      </c>
      <c r="AU5" s="146">
        <f t="shared" si="2"/>
        <v>0</v>
      </c>
    </row>
    <row r="6" spans="1:48" s="254" customFormat="1" ht="27" customHeight="1">
      <c r="A6" s="254" t="s">
        <v>378</v>
      </c>
      <c r="B6" s="289" t="s">
        <v>372</v>
      </c>
      <c r="C6" s="340">
        <v>4</v>
      </c>
      <c r="D6" s="340">
        <v>4</v>
      </c>
      <c r="E6" s="340">
        <v>4</v>
      </c>
      <c r="F6" s="694"/>
      <c r="G6" s="343">
        <v>0.05</v>
      </c>
      <c r="H6" s="343">
        <v>0.05</v>
      </c>
      <c r="I6" s="695">
        <f t="shared" ref="I6:I7" si="3">SUMIF($L$3:$AU$3,$I$3,$L6:$AU6)</f>
        <v>0</v>
      </c>
      <c r="J6" s="695">
        <f t="shared" ref="J6:J7" si="4">SUMIF($L$3:$AU$3,$J$3,$L6:$AU6)</f>
        <v>0</v>
      </c>
      <c r="K6" s="695">
        <f t="shared" ref="K6:K7" si="5">SUMIF($L$3:$AU$3,$K$3,$L6:$AU6)</f>
        <v>0</v>
      </c>
      <c r="L6" s="696">
        <f t="shared" ref="L6:L8" si="6">F6*C6</f>
        <v>0</v>
      </c>
      <c r="M6" s="146">
        <f t="shared" ref="M6:M8" si="7">L6</f>
        <v>0</v>
      </c>
      <c r="N6" s="146">
        <f t="shared" ref="N6:N8" si="8">M6</f>
        <v>0</v>
      </c>
      <c r="O6" s="146">
        <f t="shared" ref="O6:O8" si="9">N6</f>
        <v>0</v>
      </c>
      <c r="P6" s="146">
        <f t="shared" ref="P6:P8" si="10">O6</f>
        <v>0</v>
      </c>
      <c r="Q6" s="146">
        <f t="shared" ref="Q6:Q8" si="11">P6</f>
        <v>0</v>
      </c>
      <c r="R6" s="146">
        <f t="shared" ref="R6:R8" si="12">Q6</f>
        <v>0</v>
      </c>
      <c r="S6" s="146">
        <f t="shared" ref="S6:S8" si="13">R6</f>
        <v>0</v>
      </c>
      <c r="T6" s="146">
        <f t="shared" ref="T6:T8" si="14">S6</f>
        <v>0</v>
      </c>
      <c r="U6" s="146">
        <f t="shared" ref="U6:U8" si="15">T6</f>
        <v>0</v>
      </c>
      <c r="V6" s="146">
        <f t="shared" ref="V6:V8" si="16">U6</f>
        <v>0</v>
      </c>
      <c r="W6" s="146">
        <f t="shared" ref="W6:W8" si="17">V6</f>
        <v>0</v>
      </c>
      <c r="X6" s="146">
        <f t="shared" ref="X6:X8" si="18">F6*(1+G6)*D6</f>
        <v>0</v>
      </c>
      <c r="Y6" s="146">
        <f t="shared" ref="Y6:Y8" si="19">X6</f>
        <v>0</v>
      </c>
      <c r="Z6" s="146">
        <f t="shared" ref="Z6:Z8" si="20">Y6</f>
        <v>0</v>
      </c>
      <c r="AA6" s="146">
        <f t="shared" ref="AA6:AA8" si="21">Z6</f>
        <v>0</v>
      </c>
      <c r="AB6" s="146">
        <f t="shared" ref="AB6:AB8" si="22">AA6</f>
        <v>0</v>
      </c>
      <c r="AC6" s="146">
        <f t="shared" ref="AC6:AC8" si="23">AB6</f>
        <v>0</v>
      </c>
      <c r="AD6" s="146">
        <f t="shared" ref="AD6:AD8" si="24">AC6</f>
        <v>0</v>
      </c>
      <c r="AE6" s="146">
        <f t="shared" ref="AE6:AE8" si="25">AD6</f>
        <v>0</v>
      </c>
      <c r="AF6" s="146">
        <f t="shared" ref="AF6:AF8" si="26">AE6</f>
        <v>0</v>
      </c>
      <c r="AG6" s="146">
        <f t="shared" ref="AG6:AG8" si="27">AF6</f>
        <v>0</v>
      </c>
      <c r="AH6" s="146">
        <f t="shared" ref="AH6:AH8" si="28">AG6</f>
        <v>0</v>
      </c>
      <c r="AI6" s="146">
        <f t="shared" ref="AI6:AI8" si="29">AH6</f>
        <v>0</v>
      </c>
      <c r="AJ6" s="146">
        <f t="shared" ref="AJ6:AJ8" si="30">F6*(1+G6)*(1+H6)*E6</f>
        <v>0</v>
      </c>
      <c r="AK6" s="146">
        <f t="shared" ref="AK6:AK8" si="31">AJ6</f>
        <v>0</v>
      </c>
      <c r="AL6" s="146">
        <f t="shared" ref="AL6:AL8" si="32">AK6</f>
        <v>0</v>
      </c>
      <c r="AM6" s="146">
        <f t="shared" ref="AM6:AM8" si="33">AL6</f>
        <v>0</v>
      </c>
      <c r="AN6" s="146">
        <f t="shared" ref="AN6:AN8" si="34">AM6</f>
        <v>0</v>
      </c>
      <c r="AO6" s="146">
        <f t="shared" ref="AO6:AO8" si="35">AN6</f>
        <v>0</v>
      </c>
      <c r="AP6" s="146">
        <f t="shared" ref="AP6:AP8" si="36">AO6</f>
        <v>0</v>
      </c>
      <c r="AQ6" s="146">
        <f t="shared" ref="AQ6:AQ8" si="37">AP6</f>
        <v>0</v>
      </c>
      <c r="AR6" s="146">
        <f t="shared" ref="AR6:AR8" si="38">AQ6</f>
        <v>0</v>
      </c>
      <c r="AS6" s="146">
        <f t="shared" ref="AS6:AS8" si="39">AR6</f>
        <v>0</v>
      </c>
      <c r="AT6" s="146">
        <f t="shared" ref="AT6:AT8" si="40">AS6</f>
        <v>0</v>
      </c>
      <c r="AU6" s="146">
        <f t="shared" ref="AU6:AU8" si="41">AT6</f>
        <v>0</v>
      </c>
    </row>
    <row r="7" spans="1:48" s="254" customFormat="1" ht="27" customHeight="1">
      <c r="A7" s="254" t="s">
        <v>198</v>
      </c>
      <c r="B7" s="289" t="s">
        <v>372</v>
      </c>
      <c r="C7" s="340">
        <v>1</v>
      </c>
      <c r="D7" s="340">
        <v>1</v>
      </c>
      <c r="E7" s="340">
        <v>2</v>
      </c>
      <c r="F7" s="694"/>
      <c r="G7" s="343">
        <v>0.05</v>
      </c>
      <c r="H7" s="343">
        <v>0.05</v>
      </c>
      <c r="I7" s="695">
        <f t="shared" si="3"/>
        <v>0</v>
      </c>
      <c r="J7" s="695">
        <f t="shared" si="4"/>
        <v>0</v>
      </c>
      <c r="K7" s="695">
        <f t="shared" si="5"/>
        <v>0</v>
      </c>
      <c r="L7" s="696">
        <f t="shared" si="6"/>
        <v>0</v>
      </c>
      <c r="M7" s="146">
        <f t="shared" si="7"/>
        <v>0</v>
      </c>
      <c r="N7" s="146">
        <f t="shared" si="8"/>
        <v>0</v>
      </c>
      <c r="O7" s="146">
        <f t="shared" si="9"/>
        <v>0</v>
      </c>
      <c r="P7" s="146">
        <f t="shared" si="10"/>
        <v>0</v>
      </c>
      <c r="Q7" s="146">
        <f t="shared" si="11"/>
        <v>0</v>
      </c>
      <c r="R7" s="146">
        <f t="shared" si="12"/>
        <v>0</v>
      </c>
      <c r="S7" s="146">
        <f t="shared" si="13"/>
        <v>0</v>
      </c>
      <c r="T7" s="146">
        <f t="shared" si="14"/>
        <v>0</v>
      </c>
      <c r="U7" s="146">
        <f t="shared" si="15"/>
        <v>0</v>
      </c>
      <c r="V7" s="146">
        <f t="shared" si="16"/>
        <v>0</v>
      </c>
      <c r="W7" s="146">
        <f t="shared" si="17"/>
        <v>0</v>
      </c>
      <c r="X7" s="146">
        <f t="shared" si="18"/>
        <v>0</v>
      </c>
      <c r="Y7" s="146">
        <f t="shared" si="19"/>
        <v>0</v>
      </c>
      <c r="Z7" s="146">
        <f t="shared" si="20"/>
        <v>0</v>
      </c>
      <c r="AA7" s="146">
        <f t="shared" si="21"/>
        <v>0</v>
      </c>
      <c r="AB7" s="146">
        <f t="shared" si="22"/>
        <v>0</v>
      </c>
      <c r="AC7" s="146">
        <f t="shared" si="23"/>
        <v>0</v>
      </c>
      <c r="AD7" s="146">
        <f t="shared" si="24"/>
        <v>0</v>
      </c>
      <c r="AE7" s="146">
        <f t="shared" si="25"/>
        <v>0</v>
      </c>
      <c r="AF7" s="146">
        <f t="shared" si="26"/>
        <v>0</v>
      </c>
      <c r="AG7" s="146">
        <f t="shared" si="27"/>
        <v>0</v>
      </c>
      <c r="AH7" s="146">
        <f t="shared" si="28"/>
        <v>0</v>
      </c>
      <c r="AI7" s="146">
        <f t="shared" si="29"/>
        <v>0</v>
      </c>
      <c r="AJ7" s="146">
        <f t="shared" si="30"/>
        <v>0</v>
      </c>
      <c r="AK7" s="146">
        <f t="shared" si="31"/>
        <v>0</v>
      </c>
      <c r="AL7" s="146">
        <f t="shared" si="32"/>
        <v>0</v>
      </c>
      <c r="AM7" s="146">
        <f t="shared" si="33"/>
        <v>0</v>
      </c>
      <c r="AN7" s="146">
        <f t="shared" si="34"/>
        <v>0</v>
      </c>
      <c r="AO7" s="146">
        <f t="shared" si="35"/>
        <v>0</v>
      </c>
      <c r="AP7" s="146">
        <f t="shared" si="36"/>
        <v>0</v>
      </c>
      <c r="AQ7" s="146">
        <f t="shared" si="37"/>
        <v>0</v>
      </c>
      <c r="AR7" s="146">
        <f t="shared" si="38"/>
        <v>0</v>
      </c>
      <c r="AS7" s="146">
        <f t="shared" si="39"/>
        <v>0</v>
      </c>
      <c r="AT7" s="146">
        <f t="shared" si="40"/>
        <v>0</v>
      </c>
      <c r="AU7" s="146">
        <f t="shared" si="41"/>
        <v>0</v>
      </c>
    </row>
    <row r="8" spans="1:48" s="254" customFormat="1" ht="27" customHeight="1">
      <c r="A8" s="254" t="s">
        <v>377</v>
      </c>
      <c r="B8" s="289" t="s">
        <v>372</v>
      </c>
      <c r="C8" s="340">
        <v>1</v>
      </c>
      <c r="D8" s="340">
        <v>2</v>
      </c>
      <c r="E8" s="340">
        <v>2</v>
      </c>
      <c r="F8" s="694"/>
      <c r="G8" s="343"/>
      <c r="H8" s="343"/>
      <c r="I8" s="695">
        <f>SUMIF($L$3:$AU$3,$I$3,$L8:$AU8)</f>
        <v>0</v>
      </c>
      <c r="J8" s="695">
        <f t="shared" ref="J8:K8" si="42">SUMIF($L$3:$AU$3,$I$3,$L8:$AU8)</f>
        <v>0</v>
      </c>
      <c r="K8" s="695">
        <f t="shared" si="42"/>
        <v>0</v>
      </c>
      <c r="L8" s="696">
        <f t="shared" si="6"/>
        <v>0</v>
      </c>
      <c r="M8" s="146">
        <f t="shared" si="7"/>
        <v>0</v>
      </c>
      <c r="N8" s="146">
        <f t="shared" si="8"/>
        <v>0</v>
      </c>
      <c r="O8" s="146">
        <f t="shared" si="9"/>
        <v>0</v>
      </c>
      <c r="P8" s="146">
        <f t="shared" si="10"/>
        <v>0</v>
      </c>
      <c r="Q8" s="146">
        <f t="shared" si="11"/>
        <v>0</v>
      </c>
      <c r="R8" s="146">
        <f t="shared" si="12"/>
        <v>0</v>
      </c>
      <c r="S8" s="146">
        <f t="shared" si="13"/>
        <v>0</v>
      </c>
      <c r="T8" s="146">
        <f t="shared" si="14"/>
        <v>0</v>
      </c>
      <c r="U8" s="146">
        <f t="shared" si="15"/>
        <v>0</v>
      </c>
      <c r="V8" s="146">
        <f t="shared" si="16"/>
        <v>0</v>
      </c>
      <c r="W8" s="146">
        <f t="shared" si="17"/>
        <v>0</v>
      </c>
      <c r="X8" s="146">
        <f t="shared" si="18"/>
        <v>0</v>
      </c>
      <c r="Y8" s="146">
        <f t="shared" si="19"/>
        <v>0</v>
      </c>
      <c r="Z8" s="146">
        <f t="shared" si="20"/>
        <v>0</v>
      </c>
      <c r="AA8" s="146">
        <f t="shared" si="21"/>
        <v>0</v>
      </c>
      <c r="AB8" s="146">
        <f t="shared" si="22"/>
        <v>0</v>
      </c>
      <c r="AC8" s="146">
        <f t="shared" si="23"/>
        <v>0</v>
      </c>
      <c r="AD8" s="146">
        <f t="shared" si="24"/>
        <v>0</v>
      </c>
      <c r="AE8" s="146">
        <f t="shared" si="25"/>
        <v>0</v>
      </c>
      <c r="AF8" s="146">
        <f t="shared" si="26"/>
        <v>0</v>
      </c>
      <c r="AG8" s="146">
        <f t="shared" si="27"/>
        <v>0</v>
      </c>
      <c r="AH8" s="146">
        <f t="shared" si="28"/>
        <v>0</v>
      </c>
      <c r="AI8" s="146">
        <f t="shared" si="29"/>
        <v>0</v>
      </c>
      <c r="AJ8" s="146">
        <f t="shared" si="30"/>
        <v>0</v>
      </c>
      <c r="AK8" s="146">
        <f t="shared" si="31"/>
        <v>0</v>
      </c>
      <c r="AL8" s="146">
        <f t="shared" si="32"/>
        <v>0</v>
      </c>
      <c r="AM8" s="146">
        <f t="shared" si="33"/>
        <v>0</v>
      </c>
      <c r="AN8" s="146">
        <f t="shared" si="34"/>
        <v>0</v>
      </c>
      <c r="AO8" s="146">
        <f t="shared" si="35"/>
        <v>0</v>
      </c>
      <c r="AP8" s="146">
        <f t="shared" si="36"/>
        <v>0</v>
      </c>
      <c r="AQ8" s="146">
        <f t="shared" si="37"/>
        <v>0</v>
      </c>
      <c r="AR8" s="146">
        <f t="shared" si="38"/>
        <v>0</v>
      </c>
      <c r="AS8" s="146">
        <f t="shared" si="39"/>
        <v>0</v>
      </c>
      <c r="AT8" s="146">
        <f t="shared" si="40"/>
        <v>0</v>
      </c>
      <c r="AU8" s="146">
        <f t="shared" si="41"/>
        <v>0</v>
      </c>
    </row>
    <row r="9" spans="1:48" s="254" customFormat="1" ht="27" customHeight="1">
      <c r="A9" s="254" t="s">
        <v>379</v>
      </c>
      <c r="B9" s="289" t="s">
        <v>382</v>
      </c>
      <c r="C9" s="342">
        <v>1</v>
      </c>
      <c r="D9" s="340">
        <v>2</v>
      </c>
      <c r="E9" s="340">
        <v>2</v>
      </c>
      <c r="F9" s="694"/>
      <c r="G9" s="343"/>
      <c r="H9" s="343"/>
      <c r="I9" s="695">
        <f>SUMIF($L$3:$AU$3,$I$3,$L9:$AU9)</f>
        <v>6201000</v>
      </c>
      <c r="J9" s="695">
        <f>SUMIF($L$3:$AU$3,$J$3,$L9:$AU9)</f>
        <v>15624000</v>
      </c>
      <c r="K9" s="695">
        <f>SUMIF($L$3:$AU$3,$K$3,$L9:$AU9)</f>
        <v>21697200</v>
      </c>
      <c r="L9" s="697">
        <f>IF(SUMIF('Revenue OFT_2'!$A:$A,"Доходы в мес. Эксимер",'Revenue OFT_2'!J:J)*6%&gt;$F$9,SUMIF('Revenue OFT_2'!$A:$A,"Доходы в мес. Эксимер",'Revenue OFT_2'!J:J)*6%,$F$9)</f>
        <v>210600</v>
      </c>
      <c r="M9" s="347">
        <f>IF(SUMIF('Revenue OFT_2'!$A:$A,"Доходы в мес. Эксимер",'Revenue OFT_2'!K:K)*6%&gt;$F$9,SUMIF('Revenue OFT_2'!$A:$A,"Доходы в мес. Эксимер",'Revenue OFT_2'!K:K)*6%,$F$9)</f>
        <v>265200</v>
      </c>
      <c r="N9" s="347">
        <f>IF(SUMIF('Revenue OFT_2'!$A:$A,"Доходы в мес. Эксимер",'Revenue OFT_2'!L:L)*6%&gt;$F$9,SUMIF('Revenue OFT_2'!$A:$A,"Доходы в мес. Эксимер",'Revenue OFT_2'!L:L)*6%,$F$9)</f>
        <v>370500</v>
      </c>
      <c r="O9" s="347">
        <f>IF(SUMIF('Revenue OFT_2'!$A:$A,"Доходы в мес. Эксимер",'Revenue OFT_2'!M:M)*6%&gt;$F$9,SUMIF('Revenue OFT_2'!$A:$A,"Доходы в мес. Эксимер",'Revenue OFT_2'!M:M)*6%,$F$9)</f>
        <v>425100</v>
      </c>
      <c r="P9" s="347">
        <f>IF(SUMIF('Revenue OFT_2'!$A:$A,"Доходы в мес. Эксимер",'Revenue OFT_2'!N:N)*6%&gt;$F$9,SUMIF('Revenue OFT_2'!$A:$A,"Доходы в мес. Эксимер",'Revenue OFT_2'!N:N)*6%,$F$9)</f>
        <v>530400</v>
      </c>
      <c r="Q9" s="347">
        <f>IF(SUMIF('Revenue OFT_2'!$A:$A,"Доходы в мес. Эксимер",'Revenue OFT_2'!O:O)*6%&gt;$F$9,SUMIF('Revenue OFT_2'!$A:$A,"Доходы в мес. Эксимер",'Revenue OFT_2'!O:O)*6%,$F$9)</f>
        <v>585000</v>
      </c>
      <c r="R9" s="347">
        <f>IF(SUMIF('Revenue OFT_2'!$A:$A,"Доходы в мес. Эксимер",'Revenue OFT_2'!P:P)*6%&gt;$F$9,SUMIF('Revenue OFT_2'!$A:$A,"Доходы в мес. Эксимер",'Revenue OFT_2'!P:P)*6%,$F$9)</f>
        <v>635700</v>
      </c>
      <c r="S9" s="347">
        <f>IF(SUMIF('Revenue OFT_2'!$A:$A,"Доходы в мес. Эксимер",'Revenue OFT_2'!Q:Q)*6%&gt;$F$9,SUMIF('Revenue OFT_2'!$A:$A,"Доходы в мес. Эксимер",'Revenue OFT_2'!Q:Q)*6%,$F$9)</f>
        <v>635700</v>
      </c>
      <c r="T9" s="347">
        <f>IF(SUMIF('Revenue OFT_2'!$A:$A,"Доходы в мес. Эксимер",'Revenue OFT_2'!R:R)*6%&gt;$F$9,SUMIF('Revenue OFT_2'!$A:$A,"Доходы в мес. Эксимер",'Revenue OFT_2'!R:R)*6%,$F$9)</f>
        <v>635700</v>
      </c>
      <c r="U9" s="347">
        <f>IF(SUMIF('Revenue OFT_2'!$A:$A,"Доходы в мес. Эксимер",'Revenue OFT_2'!S:S)*6%&gt;$F$9,SUMIF('Revenue OFT_2'!$A:$A,"Доходы в мес. Эксимер",'Revenue OFT_2'!S:S)*6%,$F$9)</f>
        <v>635700</v>
      </c>
      <c r="V9" s="347">
        <f>IF(SUMIF('Revenue OFT_2'!$A:$A,"Доходы в мес. Эксимер",'Revenue OFT_2'!T:T)*6%&gt;$F$9,SUMIF('Revenue OFT_2'!$A:$A,"Доходы в мес. Эксимер",'Revenue OFT_2'!T:T)*6%,$F$9)</f>
        <v>635700</v>
      </c>
      <c r="W9" s="347">
        <f>IF(SUMIF('Revenue OFT_2'!$A:$A,"Доходы в мес. Эксимер",'Revenue OFT_2'!U:U)*6%&gt;$F$9,SUMIF('Revenue OFT_2'!$A:$A,"Доходы в мес. Эксимер",'Revenue OFT_2'!U:U)*6%,$F$9)</f>
        <v>635700</v>
      </c>
      <c r="X9" s="347">
        <f>IF(SUMIF('Revenue OFT_2'!$A:$A,"Доходы в мес. Эксимер",'Revenue OFT_2'!V:V)*6%&gt;$F$9,SUMIF('Revenue OFT_2'!$A:$A,"Доходы в мес. Эксимер",'Revenue OFT_2'!V:V)*6%,$F$9)</f>
        <v>1302000</v>
      </c>
      <c r="Y9" s="347">
        <f>IF(SUMIF('Revenue OFT_2'!$A:$A,"Доходы в мес. Эксимер",'Revenue OFT_2'!W:W)*6%&gt;$F$9,SUMIF('Revenue OFT_2'!$A:$A,"Доходы в мес. Эксимер",'Revenue OFT_2'!W:W)*6%,$F$9)</f>
        <v>1302000</v>
      </c>
      <c r="Z9" s="347">
        <f>IF(SUMIF('Revenue OFT_2'!$A:$A,"Доходы в мес. Эксимер",'Revenue OFT_2'!X:X)*6%&gt;$F$9,SUMIF('Revenue OFT_2'!$A:$A,"Доходы в мес. Эксимер",'Revenue OFT_2'!X:X)*6%,$F$9)</f>
        <v>1302000</v>
      </c>
      <c r="AA9" s="347">
        <f>IF(SUMIF('Revenue OFT_2'!$A:$A,"Доходы в мес. Эксимер",'Revenue OFT_2'!Y:Y)*6%&gt;$F$9,SUMIF('Revenue OFT_2'!$A:$A,"Доходы в мес. Эксимер",'Revenue OFT_2'!Y:Y)*6%,$F$9)</f>
        <v>1302000</v>
      </c>
      <c r="AB9" s="347">
        <f>IF(SUMIF('Revenue OFT_2'!$A:$A,"Доходы в мес. Эксимер",'Revenue OFT_2'!Z:Z)*6%&gt;$F$9,SUMIF('Revenue OFT_2'!$A:$A,"Доходы в мес. Эксимер",'Revenue OFT_2'!Z:Z)*6%,$F$9)</f>
        <v>1302000</v>
      </c>
      <c r="AC9" s="347">
        <f>IF(SUMIF('Revenue OFT_2'!$A:$A,"Доходы в мес. Эксимер",'Revenue OFT_2'!AA:AA)*6%&gt;$F$9,SUMIF('Revenue OFT_2'!$A:$A,"Доходы в мес. Эксимер",'Revenue OFT_2'!AA:AA)*6%,$F$9)</f>
        <v>1302000</v>
      </c>
      <c r="AD9" s="347">
        <f>IF(SUMIF('Revenue OFT_2'!$A:$A,"Доходы в мес. Эксимер",'Revenue OFT_2'!AB:AB)*6%&gt;$F$9,SUMIF('Revenue OFT_2'!$A:$A,"Доходы в мес. Эксимер",'Revenue OFT_2'!AB:AB)*6%,$F$9)</f>
        <v>1302000</v>
      </c>
      <c r="AE9" s="347">
        <f>IF(SUMIF('Revenue OFT_2'!$A:$A,"Доходы в мес. Эксимер",'Revenue OFT_2'!AC:AC)*6%&gt;$F$9,SUMIF('Revenue OFT_2'!$A:$A,"Доходы в мес. Эксимер",'Revenue OFT_2'!AC:AC)*6%,$F$9)</f>
        <v>1302000</v>
      </c>
      <c r="AF9" s="347">
        <f>IF(SUMIF('Revenue OFT_2'!$A:$A,"Доходы в мес. Эксимер",'Revenue OFT_2'!AD:AD)*6%&gt;$F$9,SUMIF('Revenue OFT_2'!$A:$A,"Доходы в мес. Эксимер",'Revenue OFT_2'!AD:AD)*6%,$F$9)</f>
        <v>1302000</v>
      </c>
      <c r="AG9" s="347">
        <f>IF(SUMIF('Revenue OFT_2'!$A:$A,"Доходы в мес. Эксимер",'Revenue OFT_2'!AE:AE)*6%&gt;$F$9,SUMIF('Revenue OFT_2'!$A:$A,"Доходы в мес. Эксимер",'Revenue OFT_2'!AE:AE)*6%,$F$9)</f>
        <v>1302000</v>
      </c>
      <c r="AH9" s="347">
        <f>IF(SUMIF('Revenue OFT_2'!$A:$A,"Доходы в мес. Эксимер",'Revenue OFT_2'!AF:AF)*6%&gt;$F$9,SUMIF('Revenue OFT_2'!$A:$A,"Доходы в мес. Эксимер",'Revenue OFT_2'!AF:AF)*6%,$F$9)</f>
        <v>1302000</v>
      </c>
      <c r="AI9" s="347">
        <f>IF(SUMIF('Revenue OFT_2'!$A:$A,"Доходы в мес. Эксимер",'Revenue OFT_2'!AG:AG)*6%&gt;$F$9,SUMIF('Revenue OFT_2'!$A:$A,"Доходы в мес. Эксимер",'Revenue OFT_2'!AG:AG)*6%,$F$9)</f>
        <v>1302000</v>
      </c>
      <c r="AJ9" s="347">
        <f>IF(SUMIF('Revenue OFT_2'!$A:$A,"Доходы в мес. Эксимер",'Revenue OFT_2'!AH:AH)*6%&gt;$F$9,SUMIF('Revenue OFT_2'!$A:$A,"Доходы в мес. Эксимер",'Revenue OFT_2'!AH:AH)*6%,$F$9)</f>
        <v>1808100</v>
      </c>
      <c r="AK9" s="347">
        <f>IF(SUMIF('Revenue OFT_2'!$A:$A,"Доходы в мес. Эксимер",'Revenue OFT_2'!AI:AI)*6%&gt;$F$9,SUMIF('Revenue OFT_2'!$A:$A,"Доходы в мес. Эксимер",'Revenue OFT_2'!AI:AI)*6%,$F$9)</f>
        <v>1808100</v>
      </c>
      <c r="AL9" s="347">
        <f>IF(SUMIF('Revenue OFT_2'!$A:$A,"Доходы в мес. Эксимер",'Revenue OFT_2'!AJ:AJ)*6%&gt;$F$9,SUMIF('Revenue OFT_2'!$A:$A,"Доходы в мес. Эксимер",'Revenue OFT_2'!AJ:AJ)*6%,$F$9)</f>
        <v>1808100</v>
      </c>
      <c r="AM9" s="347">
        <f>IF(SUMIF('Revenue OFT_2'!$A:$A,"Доходы в мес. Эксимер",'Revenue OFT_2'!AK:AK)*6%&gt;$F$9,SUMIF('Revenue OFT_2'!$A:$A,"Доходы в мес. Эксимер",'Revenue OFT_2'!AK:AK)*6%,$F$9)</f>
        <v>1808100</v>
      </c>
      <c r="AN9" s="347">
        <f>IF(SUMIF('Revenue OFT_2'!$A:$A,"Доходы в мес. Эксимер",'Revenue OFT_2'!AL:AL)*6%&gt;$F$9,SUMIF('Revenue OFT_2'!$A:$A,"Доходы в мес. Эксимер",'Revenue OFT_2'!AL:AL)*6%,$F$9)</f>
        <v>1808100</v>
      </c>
      <c r="AO9" s="347">
        <f>IF(SUMIF('Revenue OFT_2'!$A:$A,"Доходы в мес. Эксимер",'Revenue OFT_2'!AM:AM)*6%&gt;$F$9,SUMIF('Revenue OFT_2'!$A:$A,"Доходы в мес. Эксимер",'Revenue OFT_2'!AM:AM)*6%,$F$9)</f>
        <v>1808100</v>
      </c>
      <c r="AP9" s="347">
        <f>IF(SUMIF('Revenue OFT_2'!$A:$A,"Доходы в мес. Эксимер",'Revenue OFT_2'!AN:AN)*6%&gt;$F$9,SUMIF('Revenue OFT_2'!$A:$A,"Доходы в мес. Эксимер",'Revenue OFT_2'!AN:AN)*6%,$F$9)</f>
        <v>1808100</v>
      </c>
      <c r="AQ9" s="347">
        <f>IF(SUMIF('Revenue OFT_2'!$A:$A,"Доходы в мес. Эксимер",'Revenue OFT_2'!AO:AO)*6%&gt;$F$9,SUMIF('Revenue OFT_2'!$A:$A,"Доходы в мес. Эксимер",'Revenue OFT_2'!AO:AO)*6%,$F$9)</f>
        <v>1808100</v>
      </c>
      <c r="AR9" s="347">
        <f>IF(SUMIF('Revenue OFT_2'!$A:$A,"Доходы в мес. Эксимер",'Revenue OFT_2'!AP:AP)*6%&gt;$F$9,SUMIF('Revenue OFT_2'!$A:$A,"Доходы в мес. Эксимер",'Revenue OFT_2'!AP:AP)*6%,$F$9)</f>
        <v>1808100</v>
      </c>
      <c r="AS9" s="347">
        <f>IF(SUMIF('Revenue OFT_2'!$A:$A,"Доходы в мес. Эксимер",'Revenue OFT_2'!AQ:AQ)*6%&gt;$F$9,SUMIF('Revenue OFT_2'!$A:$A,"Доходы в мес. Эксимер",'Revenue OFT_2'!AQ:AQ)*6%,$F$9)</f>
        <v>1808100</v>
      </c>
      <c r="AT9" s="347">
        <f>IF(SUMIF('Revenue OFT_2'!$A:$A,"Доходы в мес. Эксимер",'Revenue OFT_2'!AR:AR)*6%&gt;$F$9,SUMIF('Revenue OFT_2'!$A:$A,"Доходы в мес. Эксимер",'Revenue OFT_2'!AR:AR)*6%,$F$9)</f>
        <v>1808100</v>
      </c>
      <c r="AU9" s="347">
        <f>IF(SUMIF('Revenue OFT_2'!$A:$A,"Доходы в мес. Эксимер",'Revenue OFT_2'!AS:AS)*6%&gt;$F$9,SUMIF('Revenue OFT_2'!$A:$A,"Доходы в мес. Эксимер",'Revenue OFT_2'!AS:AS)*6%,$F$9)</f>
        <v>1808100</v>
      </c>
    </row>
    <row r="10" spans="1:48" s="254" customFormat="1" ht="27" customHeight="1">
      <c r="A10" s="254" t="s">
        <v>380</v>
      </c>
      <c r="B10" s="289" t="s">
        <v>382</v>
      </c>
      <c r="C10" s="340">
        <v>1</v>
      </c>
      <c r="D10" s="340">
        <v>2</v>
      </c>
      <c r="E10" s="340">
        <v>2</v>
      </c>
      <c r="F10" s="694"/>
      <c r="G10" s="343"/>
      <c r="H10" s="343"/>
      <c r="I10" s="695">
        <f>SUMIF($L$3:$AU$3,$I$3,$L10:$AU10)</f>
        <v>4865158</v>
      </c>
      <c r="J10" s="695">
        <f>SUMIF($L$3:$AU$3,$J$3,$L10:$AU10)</f>
        <v>11387999.999999998</v>
      </c>
      <c r="K10" s="695">
        <f>SUMIF($L$3:$AU$3,$K$3,$L10:$AU10)</f>
        <v>15321240</v>
      </c>
      <c r="L10" s="697">
        <f>IF(SUMIF('Revenue OFT_2'!$A:$A,"Доходы в мес. Катаракта",'Revenue OFT_2'!J:J)*7.3%&gt;$F$10,SUMIF('Revenue OFT_2'!$A:$A,"Доходы в мес. Катаракта",'Revenue OFT_2'!J:J)*7.3%,$F$10)</f>
        <v>164688</v>
      </c>
      <c r="M10" s="347">
        <f>IF(SUMIF('Revenue OFT_2'!$A:$A,"Доходы в мес. Катаракта",'Revenue OFT_2'!K:K)*7.3%&gt;$F$10,SUMIF('Revenue OFT_2'!$A:$A,"Доходы в мес. Катаракта",'Revenue OFT_2'!K:K)*7.3%,$F$10)</f>
        <v>205860</v>
      </c>
      <c r="N10" s="347">
        <f>IF(SUMIF('Revenue OFT_2'!$A:$A,"Доходы в мес. Катаракта",'Revenue OFT_2'!L:L)*7.3%&gt;$F$10,SUMIF('Revenue OFT_2'!$A:$A,"Доходы в мес. Катаракта",'Revenue OFT_2'!L:L)*7.3%,$F$10)</f>
        <v>288204</v>
      </c>
      <c r="O10" s="347">
        <f>IF(SUMIF('Revenue OFT_2'!$A:$A,"Доходы в мес. Катаракта",'Revenue OFT_2'!M:M)*7.3%&gt;$F$10,SUMIF('Revenue OFT_2'!$A:$A,"Доходы в мес. Катаракта",'Revenue OFT_2'!M:M)*7.3%,$F$10)</f>
        <v>329376</v>
      </c>
      <c r="P10" s="347">
        <f>IF(SUMIF('Revenue OFT_2'!$A:$A,"Доходы в мес. Катаракта",'Revenue OFT_2'!N:N)*7.3%&gt;$F$10,SUMIF('Revenue OFT_2'!$A:$A,"Доходы в мес. Катаракта",'Revenue OFT_2'!N:N)*7.3%,$F$10)</f>
        <v>411720</v>
      </c>
      <c r="Q10" s="347">
        <f>IF(SUMIF('Revenue OFT_2'!$A:$A,"Доходы в мес. Катаракта",'Revenue OFT_2'!O:O)*7.3%&gt;$F$10,SUMIF('Revenue OFT_2'!$A:$A,"Доходы в мес. Катаракта",'Revenue OFT_2'!O:O)*7.3%,$F$10)</f>
        <v>459754</v>
      </c>
      <c r="R10" s="347">
        <f>IF(SUMIF('Revenue OFT_2'!$A:$A,"Доходы в мес. Катаракта",'Revenue OFT_2'!P:P)*7.3%&gt;$F$10,SUMIF('Revenue OFT_2'!$A:$A,"Доходы в мес. Катаракта",'Revenue OFT_2'!P:P)*7.3%,$F$10)</f>
        <v>500925.99999999994</v>
      </c>
      <c r="S10" s="347">
        <f>IF(SUMIF('Revenue OFT_2'!$A:$A,"Доходы в мес. Катаракта",'Revenue OFT_2'!Q:Q)*7.3%&gt;$F$10,SUMIF('Revenue OFT_2'!$A:$A,"Доходы в мес. Катаракта",'Revenue OFT_2'!Q:Q)*7.3%,$F$10)</f>
        <v>500925.99999999994</v>
      </c>
      <c r="T10" s="347">
        <f>IF(SUMIF('Revenue OFT_2'!$A:$A,"Доходы в мес. Катаракта",'Revenue OFT_2'!R:R)*7.3%&gt;$F$10,SUMIF('Revenue OFT_2'!$A:$A,"Доходы в мес. Катаракта",'Revenue OFT_2'!R:R)*7.3%,$F$10)</f>
        <v>500925.99999999994</v>
      </c>
      <c r="U10" s="347">
        <f>IF(SUMIF('Revenue OFT_2'!$A:$A,"Доходы в мес. Катаракта",'Revenue OFT_2'!S:S)*7.3%&gt;$F$10,SUMIF('Revenue OFT_2'!$A:$A,"Доходы в мес. Катаракта",'Revenue OFT_2'!S:S)*7.3%,$F$10)</f>
        <v>500925.99999999994</v>
      </c>
      <c r="V10" s="347">
        <f>IF(SUMIF('Revenue OFT_2'!$A:$A,"Доходы в мес. Катаракта",'Revenue OFT_2'!T:T)*7.3%&gt;$F$10,SUMIF('Revenue OFT_2'!$A:$A,"Доходы в мес. Катаракта",'Revenue OFT_2'!T:T)*7.3%,$F$10)</f>
        <v>500925.99999999994</v>
      </c>
      <c r="W10" s="347">
        <f>IF(SUMIF('Revenue OFT_2'!$A:$A,"Доходы в мес. Катаракта",'Revenue OFT_2'!U:U)*7.3%&gt;$F$10,SUMIF('Revenue OFT_2'!$A:$A,"Доходы в мес. Катаракта",'Revenue OFT_2'!U:U)*7.3%,$F$10)</f>
        <v>500925.99999999994</v>
      </c>
      <c r="X10" s="347">
        <f>IF(SUMIF('Revenue OFT_2'!$A:$A,"Доходы в мес. Катаракта",'Revenue OFT_2'!V:V)*7.3%&gt;$F$10,SUMIF('Revenue OFT_2'!$A:$A,"Доходы в мес. Катаракта",'Revenue OFT_2'!V:V)*7.3%,$F$10)</f>
        <v>948999.99999999988</v>
      </c>
      <c r="Y10" s="347">
        <f>IF(SUMIF('Revenue OFT_2'!$A:$A,"Доходы в мес. Катаракта",'Revenue OFT_2'!W:W)*7.3%&gt;$F$10,SUMIF('Revenue OFT_2'!$A:$A,"Доходы в мес. Катаракта",'Revenue OFT_2'!W:W)*7.3%,$F$10)</f>
        <v>948999.99999999988</v>
      </c>
      <c r="Z10" s="347">
        <f>IF(SUMIF('Revenue OFT_2'!$A:$A,"Доходы в мес. Катаракта",'Revenue OFT_2'!X:X)*7.3%&gt;$F$10,SUMIF('Revenue OFT_2'!$A:$A,"Доходы в мес. Катаракта",'Revenue OFT_2'!X:X)*7.3%,$F$10)</f>
        <v>948999.99999999988</v>
      </c>
      <c r="AA10" s="347">
        <f>IF(SUMIF('Revenue OFT_2'!$A:$A,"Доходы в мес. Катаракта",'Revenue OFT_2'!Y:Y)*7.3%&gt;$F$10,SUMIF('Revenue OFT_2'!$A:$A,"Доходы в мес. Катаракта",'Revenue OFT_2'!Y:Y)*7.3%,$F$10)</f>
        <v>948999.99999999988</v>
      </c>
      <c r="AB10" s="347">
        <f>IF(SUMIF('Revenue OFT_2'!$A:$A,"Доходы в мес. Катаракта",'Revenue OFT_2'!Z:Z)*7.3%&gt;$F$10,SUMIF('Revenue OFT_2'!$A:$A,"Доходы в мес. Катаракта",'Revenue OFT_2'!Z:Z)*7.3%,$F$10)</f>
        <v>948999.99999999988</v>
      </c>
      <c r="AC10" s="347">
        <f>IF(SUMIF('Revenue OFT_2'!$A:$A,"Доходы в мес. Катаракта",'Revenue OFT_2'!AA:AA)*7.3%&gt;$F$10,SUMIF('Revenue OFT_2'!$A:$A,"Доходы в мес. Катаракта",'Revenue OFT_2'!AA:AA)*7.3%,$F$10)</f>
        <v>948999.99999999988</v>
      </c>
      <c r="AD10" s="347">
        <f>IF(SUMIF('Revenue OFT_2'!$A:$A,"Доходы в мес. Катаракта",'Revenue OFT_2'!AB:AB)*7.3%&gt;$F$10,SUMIF('Revenue OFT_2'!$A:$A,"Доходы в мес. Катаракта",'Revenue OFT_2'!AB:AB)*7.3%,$F$10)</f>
        <v>948999.99999999988</v>
      </c>
      <c r="AE10" s="347">
        <f>IF(SUMIF('Revenue OFT_2'!$A:$A,"Доходы в мес. Катаракта",'Revenue OFT_2'!AC:AC)*7.3%&gt;$F$10,SUMIF('Revenue OFT_2'!$A:$A,"Доходы в мес. Катаракта",'Revenue OFT_2'!AC:AC)*7.3%,$F$10)</f>
        <v>948999.99999999988</v>
      </c>
      <c r="AF10" s="347">
        <f>IF(SUMIF('Revenue OFT_2'!$A:$A,"Доходы в мес. Катаракта",'Revenue OFT_2'!AD:AD)*7.3%&gt;$F$10,SUMIF('Revenue OFT_2'!$A:$A,"Доходы в мес. Катаракта",'Revenue OFT_2'!AD:AD)*7.3%,$F$10)</f>
        <v>948999.99999999988</v>
      </c>
      <c r="AG10" s="347">
        <f>IF(SUMIF('Revenue OFT_2'!$A:$A,"Доходы в мес. Катаракта",'Revenue OFT_2'!AE:AE)*7.3%&gt;$F$10,SUMIF('Revenue OFT_2'!$A:$A,"Доходы в мес. Катаракта",'Revenue OFT_2'!AE:AE)*7.3%,$F$10)</f>
        <v>948999.99999999988</v>
      </c>
      <c r="AH10" s="347">
        <f>IF(SUMIF('Revenue OFT_2'!$A:$A,"Доходы в мес. Катаракта",'Revenue OFT_2'!AF:AF)*7.3%&gt;$F$10,SUMIF('Revenue OFT_2'!$A:$A,"Доходы в мес. Катаракта",'Revenue OFT_2'!AF:AF)*7.3%,$F$10)</f>
        <v>948999.99999999988</v>
      </c>
      <c r="AI10" s="347">
        <f>IF(SUMIF('Revenue OFT_2'!$A:$A,"Доходы в мес. Катаракта",'Revenue OFT_2'!AG:AG)*7.3%&gt;$F$10,SUMIF('Revenue OFT_2'!$A:$A,"Доходы в мес. Катаракта",'Revenue OFT_2'!AG:AG)*7.3%,$F$10)</f>
        <v>948999.99999999988</v>
      </c>
      <c r="AJ10" s="347">
        <f>IF(SUMIF('Revenue OFT_2'!$A:$A,"Доходы в мес. Катаракта",'Revenue OFT_2'!AH:AH)*7.3%&gt;$F$10,SUMIF('Revenue OFT_2'!$A:$A,"Доходы в мес. Катаракта",'Revenue OFT_2'!AH:AH)*7.3%,$F$10)</f>
        <v>1276770</v>
      </c>
      <c r="AK10" s="347">
        <f>IF(SUMIF('Revenue OFT_2'!$A:$A,"Доходы в мес. Катаракта",'Revenue OFT_2'!AI:AI)*7.3%&gt;$F$10,SUMIF('Revenue OFT_2'!$A:$A,"Доходы в мес. Катаракта",'Revenue OFT_2'!AI:AI)*7.3%,$F$10)</f>
        <v>1276770</v>
      </c>
      <c r="AL10" s="347">
        <f>IF(SUMIF('Revenue OFT_2'!$A:$A,"Доходы в мес. Катаракта",'Revenue OFT_2'!AJ:AJ)*7.3%&gt;$F$10,SUMIF('Revenue OFT_2'!$A:$A,"Доходы в мес. Катаракта",'Revenue OFT_2'!AJ:AJ)*7.3%,$F$10)</f>
        <v>1276770</v>
      </c>
      <c r="AM10" s="347">
        <f>IF(SUMIF('Revenue OFT_2'!$A:$A,"Доходы в мес. Катаракта",'Revenue OFT_2'!AK:AK)*7.3%&gt;$F$10,SUMIF('Revenue OFT_2'!$A:$A,"Доходы в мес. Катаракта",'Revenue OFT_2'!AK:AK)*7.3%,$F$10)</f>
        <v>1276770</v>
      </c>
      <c r="AN10" s="347">
        <f>IF(SUMIF('Revenue OFT_2'!$A:$A,"Доходы в мес. Катаракта",'Revenue OFT_2'!AL:AL)*7.3%&gt;$F$10,SUMIF('Revenue OFT_2'!$A:$A,"Доходы в мес. Катаракта",'Revenue OFT_2'!AL:AL)*7.3%,$F$10)</f>
        <v>1276770</v>
      </c>
      <c r="AO10" s="347">
        <f>IF(SUMIF('Revenue OFT_2'!$A:$A,"Доходы в мес. Катаракта",'Revenue OFT_2'!AM:AM)*7.3%&gt;$F$10,SUMIF('Revenue OFT_2'!$A:$A,"Доходы в мес. Катаракта",'Revenue OFT_2'!AM:AM)*7.3%,$F$10)</f>
        <v>1276770</v>
      </c>
      <c r="AP10" s="347">
        <f>IF(SUMIF('Revenue OFT_2'!$A:$A,"Доходы в мес. Катаракта",'Revenue OFT_2'!AN:AN)*7.3%&gt;$F$10,SUMIF('Revenue OFT_2'!$A:$A,"Доходы в мес. Катаракта",'Revenue OFT_2'!AN:AN)*7.3%,$F$10)</f>
        <v>1276770</v>
      </c>
      <c r="AQ10" s="347">
        <f>IF(SUMIF('Revenue OFT_2'!$A:$A,"Доходы в мес. Катаракта",'Revenue OFT_2'!AO:AO)*7.3%&gt;$F$10,SUMIF('Revenue OFT_2'!$A:$A,"Доходы в мес. Катаракта",'Revenue OFT_2'!AO:AO)*7.3%,$F$10)</f>
        <v>1276770</v>
      </c>
      <c r="AR10" s="347">
        <f>IF(SUMIF('Revenue OFT_2'!$A:$A,"Доходы в мес. Катаракта",'Revenue OFT_2'!AP:AP)*7.3%&gt;$F$10,SUMIF('Revenue OFT_2'!$A:$A,"Доходы в мес. Катаракта",'Revenue OFT_2'!AP:AP)*7.3%,$F$10)</f>
        <v>1276770</v>
      </c>
      <c r="AS10" s="347">
        <f>IF(SUMIF('Revenue OFT_2'!$A:$A,"Доходы в мес. Катаракта",'Revenue OFT_2'!AQ:AQ)*7.3%&gt;$F$10,SUMIF('Revenue OFT_2'!$A:$A,"Доходы в мес. Катаракта",'Revenue OFT_2'!AQ:AQ)*7.3%,$F$10)</f>
        <v>1276770</v>
      </c>
      <c r="AT10" s="347">
        <f>IF(SUMIF('Revenue OFT_2'!$A:$A,"Доходы в мес. Катаракта",'Revenue OFT_2'!AR:AR)*7.3%&gt;$F$10,SUMIF('Revenue OFT_2'!$A:$A,"Доходы в мес. Катаракта",'Revenue OFT_2'!AR:AR)*7.3%,$F$10)</f>
        <v>1276770</v>
      </c>
      <c r="AU10" s="347">
        <f>IF(SUMIF('Revenue OFT_2'!$A:$A,"Доходы в мес. Катаракта",'Revenue OFT_2'!AS:AS)*7.3%&gt;$F$10,SUMIF('Revenue OFT_2'!$A:$A,"Доходы в мес. Катаракта",'Revenue OFT_2'!AS:AS)*7.3%,$F$10)</f>
        <v>1276770</v>
      </c>
    </row>
    <row r="11" spans="1:48" s="145" customFormat="1" ht="27" customHeight="1">
      <c r="A11" s="145" t="s">
        <v>314</v>
      </c>
      <c r="B11" s="289" t="s">
        <v>372</v>
      </c>
      <c r="C11" s="340">
        <v>1</v>
      </c>
      <c r="D11" s="340">
        <v>1</v>
      </c>
      <c r="E11" s="340">
        <v>1</v>
      </c>
      <c r="F11" s="694"/>
      <c r="G11" s="343">
        <v>0.05</v>
      </c>
      <c r="H11" s="343">
        <v>0.05</v>
      </c>
      <c r="I11" s="695">
        <f t="shared" ref="I11:I39" si="43">SUMIF($L$3:$AU$3,$I$3,$L11:$AU11)</f>
        <v>0</v>
      </c>
      <c r="J11" s="695">
        <f t="shared" ref="J11:J39" si="44">SUMIF($L$3:$AU$3,$J$3,$L11:$AU11)</f>
        <v>0</v>
      </c>
      <c r="K11" s="695">
        <f t="shared" ref="K11:K39" si="45">SUMIF($L$3:$AU$3,$K$3,$L11:$AU11)</f>
        <v>0</v>
      </c>
      <c r="L11" s="696">
        <f t="shared" ref="L11:L14" si="46">F11*C11</f>
        <v>0</v>
      </c>
      <c r="M11" s="146">
        <f t="shared" ref="M11:M14" si="47">L11</f>
        <v>0</v>
      </c>
      <c r="N11" s="146">
        <f t="shared" si="0"/>
        <v>0</v>
      </c>
      <c r="O11" s="146">
        <f t="shared" si="0"/>
        <v>0</v>
      </c>
      <c r="P11" s="146">
        <f t="shared" si="0"/>
        <v>0</v>
      </c>
      <c r="Q11" s="146">
        <f t="shared" si="0"/>
        <v>0</v>
      </c>
      <c r="R11" s="146">
        <f t="shared" si="0"/>
        <v>0</v>
      </c>
      <c r="S11" s="146">
        <f t="shared" si="0"/>
        <v>0</v>
      </c>
      <c r="T11" s="146">
        <f t="shared" si="0"/>
        <v>0</v>
      </c>
      <c r="U11" s="146">
        <f t="shared" si="0"/>
        <v>0</v>
      </c>
      <c r="V11" s="146">
        <f t="shared" si="0"/>
        <v>0</v>
      </c>
      <c r="W11" s="146">
        <f t="shared" si="0"/>
        <v>0</v>
      </c>
      <c r="X11" s="146">
        <f t="shared" ref="X11:X14" si="48">F11*(1+G11)*D11</f>
        <v>0</v>
      </c>
      <c r="Y11" s="146">
        <f t="shared" ref="Y11:Y14" si="49">X11</f>
        <v>0</v>
      </c>
      <c r="Z11" s="146">
        <f t="shared" si="1"/>
        <v>0</v>
      </c>
      <c r="AA11" s="146">
        <f t="shared" si="1"/>
        <v>0</v>
      </c>
      <c r="AB11" s="146">
        <f t="shared" si="1"/>
        <v>0</v>
      </c>
      <c r="AC11" s="146">
        <f t="shared" si="1"/>
        <v>0</v>
      </c>
      <c r="AD11" s="146">
        <f t="shared" si="1"/>
        <v>0</v>
      </c>
      <c r="AE11" s="146">
        <f t="shared" si="1"/>
        <v>0</v>
      </c>
      <c r="AF11" s="146">
        <f t="shared" si="1"/>
        <v>0</v>
      </c>
      <c r="AG11" s="146">
        <f t="shared" si="1"/>
        <v>0</v>
      </c>
      <c r="AH11" s="146">
        <f t="shared" si="1"/>
        <v>0</v>
      </c>
      <c r="AI11" s="146">
        <f t="shared" si="1"/>
        <v>0</v>
      </c>
      <c r="AJ11" s="146">
        <f t="shared" ref="AJ11:AJ14" si="50">F11*(1+G11)*(1+H11)*E11</f>
        <v>0</v>
      </c>
      <c r="AK11" s="146">
        <f t="shared" ref="AK11:AK14" si="51">AJ11</f>
        <v>0</v>
      </c>
      <c r="AL11" s="146">
        <f t="shared" si="2"/>
        <v>0</v>
      </c>
      <c r="AM11" s="146">
        <f t="shared" si="2"/>
        <v>0</v>
      </c>
      <c r="AN11" s="146">
        <f t="shared" si="2"/>
        <v>0</v>
      </c>
      <c r="AO11" s="146">
        <f t="shared" si="2"/>
        <v>0</v>
      </c>
      <c r="AP11" s="146">
        <f t="shared" si="2"/>
        <v>0</v>
      </c>
      <c r="AQ11" s="146">
        <f t="shared" si="2"/>
        <v>0</v>
      </c>
      <c r="AR11" s="146">
        <f t="shared" si="2"/>
        <v>0</v>
      </c>
      <c r="AS11" s="146">
        <f t="shared" si="2"/>
        <v>0</v>
      </c>
      <c r="AT11" s="146">
        <f t="shared" si="2"/>
        <v>0</v>
      </c>
      <c r="AU11" s="146">
        <f t="shared" si="2"/>
        <v>0</v>
      </c>
    </row>
    <row r="12" spans="1:48" s="254" customFormat="1" ht="27" customHeight="1">
      <c r="A12" s="254" t="s">
        <v>381</v>
      </c>
      <c r="B12" s="289" t="s">
        <v>372</v>
      </c>
      <c r="C12" s="340">
        <v>1</v>
      </c>
      <c r="D12" s="340">
        <v>1</v>
      </c>
      <c r="E12" s="340">
        <v>1</v>
      </c>
      <c r="F12" s="694"/>
      <c r="G12" s="343"/>
      <c r="H12" s="343"/>
      <c r="I12" s="695">
        <f t="shared" si="43"/>
        <v>0</v>
      </c>
      <c r="J12" s="695">
        <f t="shared" si="44"/>
        <v>0</v>
      </c>
      <c r="K12" s="695">
        <f t="shared" si="45"/>
        <v>0</v>
      </c>
      <c r="L12" s="696">
        <f t="shared" ref="L12" si="52">F12*C12</f>
        <v>0</v>
      </c>
      <c r="M12" s="146">
        <f t="shared" ref="M12" si="53">L12</f>
        <v>0</v>
      </c>
      <c r="N12" s="146">
        <f t="shared" ref="N12" si="54">M12</f>
        <v>0</v>
      </c>
      <c r="O12" s="146">
        <f t="shared" ref="O12" si="55">N12</f>
        <v>0</v>
      </c>
      <c r="P12" s="146">
        <f t="shared" ref="P12" si="56">O12</f>
        <v>0</v>
      </c>
      <c r="Q12" s="146">
        <f t="shared" ref="Q12" si="57">P12</f>
        <v>0</v>
      </c>
      <c r="R12" s="146">
        <f t="shared" ref="R12" si="58">Q12</f>
        <v>0</v>
      </c>
      <c r="S12" s="146">
        <f t="shared" ref="S12" si="59">R12</f>
        <v>0</v>
      </c>
      <c r="T12" s="146">
        <f t="shared" ref="T12" si="60">S12</f>
        <v>0</v>
      </c>
      <c r="U12" s="146">
        <f t="shared" ref="U12" si="61">T12</f>
        <v>0</v>
      </c>
      <c r="V12" s="146">
        <f t="shared" ref="V12" si="62">U12</f>
        <v>0</v>
      </c>
      <c r="W12" s="146">
        <f t="shared" ref="W12" si="63">V12</f>
        <v>0</v>
      </c>
      <c r="X12" s="146">
        <f t="shared" ref="X12" si="64">F12*(1+G12)*D12</f>
        <v>0</v>
      </c>
      <c r="Y12" s="146">
        <f t="shared" ref="Y12" si="65">X12</f>
        <v>0</v>
      </c>
      <c r="Z12" s="146">
        <f t="shared" ref="Z12" si="66">Y12</f>
        <v>0</v>
      </c>
      <c r="AA12" s="146">
        <f t="shared" ref="AA12" si="67">Z12</f>
        <v>0</v>
      </c>
      <c r="AB12" s="146">
        <f t="shared" ref="AB12" si="68">AA12</f>
        <v>0</v>
      </c>
      <c r="AC12" s="146">
        <f t="shared" ref="AC12" si="69">AB12</f>
        <v>0</v>
      </c>
      <c r="AD12" s="146">
        <f t="shared" ref="AD12" si="70">AC12</f>
        <v>0</v>
      </c>
      <c r="AE12" s="146">
        <f t="shared" ref="AE12" si="71">AD12</f>
        <v>0</v>
      </c>
      <c r="AF12" s="146">
        <f t="shared" ref="AF12" si="72">AE12</f>
        <v>0</v>
      </c>
      <c r="AG12" s="146">
        <f t="shared" ref="AG12" si="73">AF12</f>
        <v>0</v>
      </c>
      <c r="AH12" s="146">
        <f t="shared" ref="AH12" si="74">AG12</f>
        <v>0</v>
      </c>
      <c r="AI12" s="146">
        <f t="shared" ref="AI12" si="75">AH12</f>
        <v>0</v>
      </c>
      <c r="AJ12" s="146">
        <f t="shared" ref="AJ12" si="76">F12*(1+G12)*(1+H12)*E12</f>
        <v>0</v>
      </c>
      <c r="AK12" s="146">
        <f t="shared" ref="AK12" si="77">AJ12</f>
        <v>0</v>
      </c>
      <c r="AL12" s="146">
        <f t="shared" ref="AL12" si="78">AK12</f>
        <v>0</v>
      </c>
      <c r="AM12" s="146">
        <f t="shared" ref="AM12" si="79">AL12</f>
        <v>0</v>
      </c>
      <c r="AN12" s="146">
        <f t="shared" ref="AN12" si="80">AM12</f>
        <v>0</v>
      </c>
      <c r="AO12" s="146">
        <f t="shared" ref="AO12" si="81">AN12</f>
        <v>0</v>
      </c>
      <c r="AP12" s="146">
        <f t="shared" ref="AP12" si="82">AO12</f>
        <v>0</v>
      </c>
      <c r="AQ12" s="146">
        <f t="shared" ref="AQ12" si="83">AP12</f>
        <v>0</v>
      </c>
      <c r="AR12" s="146">
        <f t="shared" ref="AR12" si="84">AQ12</f>
        <v>0</v>
      </c>
      <c r="AS12" s="146">
        <f t="shared" ref="AS12" si="85">AR12</f>
        <v>0</v>
      </c>
      <c r="AT12" s="146">
        <f t="shared" ref="AT12" si="86">AS12</f>
        <v>0</v>
      </c>
      <c r="AU12" s="146">
        <f t="shared" ref="AU12" si="87">AT12</f>
        <v>0</v>
      </c>
    </row>
    <row r="13" spans="1:48" s="254" customFormat="1" ht="27" customHeight="1">
      <c r="A13" s="254" t="s">
        <v>313</v>
      </c>
      <c r="B13" s="344" t="s">
        <v>304</v>
      </c>
      <c r="C13" s="345"/>
      <c r="D13" s="345"/>
      <c r="E13" s="345"/>
      <c r="F13" s="694"/>
      <c r="G13" s="343">
        <v>0.05</v>
      </c>
      <c r="H13" s="343">
        <v>0.05</v>
      </c>
      <c r="I13" s="695">
        <f>SUMIF($L$3:$AU$3,$I$3,$L13:$AU13)</f>
        <v>0</v>
      </c>
      <c r="J13" s="695">
        <f t="shared" si="44"/>
        <v>0</v>
      </c>
      <c r="K13" s="695">
        <f t="shared" si="45"/>
        <v>0</v>
      </c>
      <c r="L13" s="696">
        <f t="shared" ref="L13" si="88">F13*C13</f>
        <v>0</v>
      </c>
      <c r="M13" s="146">
        <f t="shared" ref="M13" si="89">L13</f>
        <v>0</v>
      </c>
      <c r="N13" s="146">
        <f t="shared" ref="N13" si="90">M13</f>
        <v>0</v>
      </c>
      <c r="O13" s="146">
        <f t="shared" ref="O13" si="91">N13</f>
        <v>0</v>
      </c>
      <c r="P13" s="146">
        <f t="shared" ref="P13" si="92">O13</f>
        <v>0</v>
      </c>
      <c r="Q13" s="146">
        <f t="shared" ref="Q13" si="93">P13</f>
        <v>0</v>
      </c>
      <c r="R13" s="146">
        <f t="shared" ref="R13" si="94">Q13</f>
        <v>0</v>
      </c>
      <c r="S13" s="146">
        <f t="shared" ref="S13" si="95">R13</f>
        <v>0</v>
      </c>
      <c r="T13" s="146">
        <f t="shared" ref="T13" si="96">S13</f>
        <v>0</v>
      </c>
      <c r="U13" s="146">
        <f t="shared" ref="U13" si="97">T13</f>
        <v>0</v>
      </c>
      <c r="V13" s="146">
        <f t="shared" ref="V13" si="98">U13</f>
        <v>0</v>
      </c>
      <c r="W13" s="146">
        <f t="shared" ref="W13" si="99">V13</f>
        <v>0</v>
      </c>
      <c r="X13" s="146">
        <f t="shared" ref="X13" si="100">F13*(1+G13)*D13</f>
        <v>0</v>
      </c>
      <c r="Y13" s="146">
        <f t="shared" ref="Y13" si="101">X13</f>
        <v>0</v>
      </c>
      <c r="Z13" s="146">
        <f t="shared" ref="Z13" si="102">Y13</f>
        <v>0</v>
      </c>
      <c r="AA13" s="146">
        <f t="shared" ref="AA13" si="103">Z13</f>
        <v>0</v>
      </c>
      <c r="AB13" s="146">
        <f t="shared" ref="AB13" si="104">AA13</f>
        <v>0</v>
      </c>
      <c r="AC13" s="146">
        <f t="shared" ref="AC13" si="105">AB13</f>
        <v>0</v>
      </c>
      <c r="AD13" s="146">
        <f t="shared" ref="AD13" si="106">AC13</f>
        <v>0</v>
      </c>
      <c r="AE13" s="146">
        <f t="shared" ref="AE13" si="107">AD13</f>
        <v>0</v>
      </c>
      <c r="AF13" s="146">
        <f t="shared" ref="AF13" si="108">AE13</f>
        <v>0</v>
      </c>
      <c r="AG13" s="146">
        <f t="shared" ref="AG13" si="109">AF13</f>
        <v>0</v>
      </c>
      <c r="AH13" s="146">
        <f t="shared" ref="AH13" si="110">AG13</f>
        <v>0</v>
      </c>
      <c r="AI13" s="146">
        <f t="shared" ref="AI13" si="111">AH13</f>
        <v>0</v>
      </c>
      <c r="AJ13" s="146">
        <f t="shared" ref="AJ13" si="112">F13*(1+G13)*(1+H13)*E13</f>
        <v>0</v>
      </c>
      <c r="AK13" s="146">
        <f t="shared" ref="AK13" si="113">AJ13</f>
        <v>0</v>
      </c>
      <c r="AL13" s="146">
        <f t="shared" ref="AL13" si="114">AK13</f>
        <v>0</v>
      </c>
      <c r="AM13" s="146">
        <f t="shared" ref="AM13" si="115">AL13</f>
        <v>0</v>
      </c>
      <c r="AN13" s="146">
        <f t="shared" ref="AN13" si="116">AM13</f>
        <v>0</v>
      </c>
      <c r="AO13" s="146">
        <f t="shared" ref="AO13" si="117">AN13</f>
        <v>0</v>
      </c>
      <c r="AP13" s="146">
        <f t="shared" ref="AP13" si="118">AO13</f>
        <v>0</v>
      </c>
      <c r="AQ13" s="146">
        <f t="shared" ref="AQ13" si="119">AP13</f>
        <v>0</v>
      </c>
      <c r="AR13" s="146">
        <f t="shared" ref="AR13" si="120">AQ13</f>
        <v>0</v>
      </c>
      <c r="AS13" s="146">
        <f t="shared" ref="AS13" si="121">AR13</f>
        <v>0</v>
      </c>
      <c r="AT13" s="146">
        <f t="shared" ref="AT13" si="122">AS13</f>
        <v>0</v>
      </c>
      <c r="AU13" s="146">
        <f t="shared" ref="AU13" si="123">AT13</f>
        <v>0</v>
      </c>
    </row>
    <row r="14" spans="1:48" s="145" customFormat="1" ht="27" customHeight="1">
      <c r="A14" s="254" t="s">
        <v>313</v>
      </c>
      <c r="B14" s="289" t="s">
        <v>305</v>
      </c>
      <c r="C14" s="345"/>
      <c r="D14" s="345"/>
      <c r="E14" s="345"/>
      <c r="F14" s="694"/>
      <c r="G14" s="343">
        <v>0.05</v>
      </c>
      <c r="H14" s="343">
        <v>0.05</v>
      </c>
      <c r="I14" s="695">
        <f t="shared" si="43"/>
        <v>0</v>
      </c>
      <c r="J14" s="695">
        <f t="shared" si="44"/>
        <v>0</v>
      </c>
      <c r="K14" s="695">
        <f t="shared" si="45"/>
        <v>0</v>
      </c>
      <c r="L14" s="696">
        <f t="shared" si="46"/>
        <v>0</v>
      </c>
      <c r="M14" s="146">
        <f t="shared" si="47"/>
        <v>0</v>
      </c>
      <c r="N14" s="146">
        <f t="shared" si="0"/>
        <v>0</v>
      </c>
      <c r="O14" s="146">
        <f t="shared" si="0"/>
        <v>0</v>
      </c>
      <c r="P14" s="146">
        <f t="shared" si="0"/>
        <v>0</v>
      </c>
      <c r="Q14" s="146">
        <f t="shared" si="0"/>
        <v>0</v>
      </c>
      <c r="R14" s="146">
        <f t="shared" si="0"/>
        <v>0</v>
      </c>
      <c r="S14" s="146">
        <f t="shared" si="0"/>
        <v>0</v>
      </c>
      <c r="T14" s="146">
        <f t="shared" si="0"/>
        <v>0</v>
      </c>
      <c r="U14" s="146">
        <f t="shared" si="0"/>
        <v>0</v>
      </c>
      <c r="V14" s="146">
        <f t="shared" si="0"/>
        <v>0</v>
      </c>
      <c r="W14" s="146">
        <f t="shared" si="0"/>
        <v>0</v>
      </c>
      <c r="X14" s="146">
        <f t="shared" si="48"/>
        <v>0</v>
      </c>
      <c r="Y14" s="146">
        <f t="shared" si="49"/>
        <v>0</v>
      </c>
      <c r="Z14" s="146">
        <f t="shared" si="1"/>
        <v>0</v>
      </c>
      <c r="AA14" s="146">
        <f t="shared" si="1"/>
        <v>0</v>
      </c>
      <c r="AB14" s="146">
        <f t="shared" si="1"/>
        <v>0</v>
      </c>
      <c r="AC14" s="146">
        <f t="shared" si="1"/>
        <v>0</v>
      </c>
      <c r="AD14" s="146">
        <f t="shared" si="1"/>
        <v>0</v>
      </c>
      <c r="AE14" s="146">
        <f t="shared" si="1"/>
        <v>0</v>
      </c>
      <c r="AF14" s="146">
        <f t="shared" si="1"/>
        <v>0</v>
      </c>
      <c r="AG14" s="146">
        <f t="shared" si="1"/>
        <v>0</v>
      </c>
      <c r="AH14" s="146">
        <f t="shared" si="1"/>
        <v>0</v>
      </c>
      <c r="AI14" s="146">
        <f t="shared" si="1"/>
        <v>0</v>
      </c>
      <c r="AJ14" s="146">
        <f t="shared" si="50"/>
        <v>0</v>
      </c>
      <c r="AK14" s="146">
        <f t="shared" si="51"/>
        <v>0</v>
      </c>
      <c r="AL14" s="146">
        <f t="shared" si="2"/>
        <v>0</v>
      </c>
      <c r="AM14" s="146">
        <f t="shared" si="2"/>
        <v>0</v>
      </c>
      <c r="AN14" s="146">
        <f t="shared" si="2"/>
        <v>0</v>
      </c>
      <c r="AO14" s="146">
        <f t="shared" si="2"/>
        <v>0</v>
      </c>
      <c r="AP14" s="146">
        <f t="shared" si="2"/>
        <v>0</v>
      </c>
      <c r="AQ14" s="146">
        <f t="shared" si="2"/>
        <v>0</v>
      </c>
      <c r="AR14" s="146">
        <f t="shared" si="2"/>
        <v>0</v>
      </c>
      <c r="AS14" s="146">
        <f t="shared" si="2"/>
        <v>0</v>
      </c>
      <c r="AT14" s="146">
        <f t="shared" si="2"/>
        <v>0</v>
      </c>
      <c r="AU14" s="146">
        <f t="shared" si="2"/>
        <v>0</v>
      </c>
    </row>
    <row r="15" spans="1:48" s="145" customFormat="1" ht="27" customHeight="1">
      <c r="A15" s="145" t="s">
        <v>383</v>
      </c>
      <c r="B15" s="289" t="s">
        <v>382</v>
      </c>
      <c r="C15" s="340">
        <v>1</v>
      </c>
      <c r="D15" s="340">
        <v>1</v>
      </c>
      <c r="E15" s="340">
        <v>1</v>
      </c>
      <c r="F15" s="694"/>
      <c r="G15" s="343"/>
      <c r="H15" s="343"/>
      <c r="I15" s="695">
        <f t="shared" si="43"/>
        <v>0</v>
      </c>
      <c r="J15" s="695">
        <f t="shared" si="44"/>
        <v>0</v>
      </c>
      <c r="K15" s="695">
        <f t="shared" si="45"/>
        <v>0</v>
      </c>
      <c r="L15" s="697">
        <f>IF(SUMIF('Revenue OFT_2'!$A:$A,"Доходы в мес. Витрео",'Revenue OFT_2'!J:J)*12%&gt;$F$15,SUMIF('Revenue OFT_2'!$A:$A,"Доходы в мес. Витрео",'Revenue OFT_2'!J:J)*12%,$F$15)</f>
        <v>0</v>
      </c>
      <c r="M15" s="347">
        <f>IF(SUMIF('Revenue OFT_2'!$A:$A,"Доходы в мес. Витрео",'Revenue OFT_2'!K:K)*12%&gt;$F$15,SUMIF('Revenue OFT_2'!$A:$A,"Доходы в мес. Витрео",'Revenue OFT_2'!K:K)*12%,$F$15)</f>
        <v>0</v>
      </c>
      <c r="N15" s="347">
        <f>IF(SUMIF('Revenue OFT_2'!$A:$A,"Доходы в мес. Витрео",'Revenue OFT_2'!L:L)*12%&gt;$F$15,SUMIF('Revenue OFT_2'!$A:$A,"Доходы в мес. Витрео",'Revenue OFT_2'!L:L)*12%,$F$15)</f>
        <v>0</v>
      </c>
      <c r="O15" s="347">
        <f>IF(SUMIF('Revenue OFT_2'!$A:$A,"Доходы в мес. Витрео",'Revenue OFT_2'!M:M)*12%&gt;$F$15,SUMIF('Revenue OFT_2'!$A:$A,"Доходы в мес. Витрео",'Revenue OFT_2'!M:M)*12%,$F$15)</f>
        <v>0</v>
      </c>
      <c r="P15" s="347">
        <f>IF(SUMIF('Revenue OFT_2'!$A:$A,"Доходы в мес. Витрео",'Revenue OFT_2'!N:N)*12%&gt;$F$15,SUMIF('Revenue OFT_2'!$A:$A,"Доходы в мес. Витрео",'Revenue OFT_2'!N:N)*12%,$F$15)</f>
        <v>0</v>
      </c>
      <c r="Q15" s="347">
        <f>IF(SUMIF('Revenue OFT_2'!$A:$A,"Доходы в мес. Витрео",'Revenue OFT_2'!O:O)*12%&gt;$F$15,SUMIF('Revenue OFT_2'!$A:$A,"Доходы в мес. Витрео",'Revenue OFT_2'!O:O)*12%,$F$15)</f>
        <v>0</v>
      </c>
      <c r="R15" s="347">
        <f>IF(SUMIF('Revenue OFT_2'!$A:$A,"Доходы в мес. Витрео",'Revenue OFT_2'!P:P)*12%&gt;$F$15,SUMIF('Revenue OFT_2'!$A:$A,"Доходы в мес. Витрео",'Revenue OFT_2'!P:P)*12%,$F$15)</f>
        <v>0</v>
      </c>
      <c r="S15" s="347">
        <f>IF(SUMIF('Revenue OFT_2'!$A:$A,"Доходы в мес. Витрео",'Revenue OFT_2'!Q:Q)*12%&gt;$F$15,SUMIF('Revenue OFT_2'!$A:$A,"Доходы в мес. Витрео",'Revenue OFT_2'!Q:Q)*12%,$F$15)</f>
        <v>0</v>
      </c>
      <c r="T15" s="347">
        <f>IF(SUMIF('Revenue OFT_2'!$A:$A,"Доходы в мес. Витрео",'Revenue OFT_2'!R:R)*12%&gt;$F$15,SUMIF('Revenue OFT_2'!$A:$A,"Доходы в мес. Витрео",'Revenue OFT_2'!R:R)*12%,$F$15)</f>
        <v>0</v>
      </c>
      <c r="U15" s="347">
        <f>IF(SUMIF('Revenue OFT_2'!$A:$A,"Доходы в мес. Витрео",'Revenue OFT_2'!S:S)*12%&gt;$F$15,SUMIF('Revenue OFT_2'!$A:$A,"Доходы в мес. Витрео",'Revenue OFT_2'!S:S)*12%,$F$15)</f>
        <v>0</v>
      </c>
      <c r="V15" s="347">
        <f>IF(SUMIF('Revenue OFT_2'!$A:$A,"Доходы в мес. Витрео",'Revenue OFT_2'!T:T)*12%&gt;$F$15,SUMIF('Revenue OFT_2'!$A:$A,"Доходы в мес. Витрео",'Revenue OFT_2'!T:T)*12%,$F$15)</f>
        <v>0</v>
      </c>
      <c r="W15" s="347">
        <f>IF(SUMIF('Revenue OFT_2'!$A:$A,"Доходы в мес. Витрео",'Revenue OFT_2'!U:U)*12%&gt;$F$15,SUMIF('Revenue OFT_2'!$A:$A,"Доходы в мес. Витрео",'Revenue OFT_2'!U:U)*12%,$F$15)</f>
        <v>0</v>
      </c>
      <c r="X15" s="347">
        <f>IF(SUMIF('Revenue OFT_2'!$A:$A,"Доходы в мес. Витрео",'Revenue OFT_2'!V:V)*12%&gt;$F$15,SUMIF('Revenue OFT_2'!$A:$A,"Доходы в мес. Витрео",'Revenue OFT_2'!V:V)*12%,$F$15)</f>
        <v>0</v>
      </c>
      <c r="Y15" s="347">
        <f>IF(SUMIF('Revenue OFT_2'!$A:$A,"Доходы в мес. Витрео",'Revenue OFT_2'!W:W)*12%&gt;$F$15,SUMIF('Revenue OFT_2'!$A:$A,"Доходы в мес. Витрео",'Revenue OFT_2'!W:W)*12%,$F$15)</f>
        <v>0</v>
      </c>
      <c r="Z15" s="347">
        <f>IF(SUMIF('Revenue OFT_2'!$A:$A,"Доходы в мес. Витрео",'Revenue OFT_2'!X:X)*12%&gt;$F$15,SUMIF('Revenue OFT_2'!$A:$A,"Доходы в мес. Витрео",'Revenue OFT_2'!X:X)*12%,$F$15)</f>
        <v>0</v>
      </c>
      <c r="AA15" s="347">
        <f>IF(SUMIF('Revenue OFT_2'!$A:$A,"Доходы в мес. Витрео",'Revenue OFT_2'!Y:Y)*12%&gt;$F$15,SUMIF('Revenue OFT_2'!$A:$A,"Доходы в мес. Витрео",'Revenue OFT_2'!Y:Y)*12%,$F$15)</f>
        <v>0</v>
      </c>
      <c r="AB15" s="347">
        <f>IF(SUMIF('Revenue OFT_2'!$A:$A,"Доходы в мес. Витрео",'Revenue OFT_2'!Z:Z)*12%&gt;$F$15,SUMIF('Revenue OFT_2'!$A:$A,"Доходы в мес. Витрео",'Revenue OFT_2'!Z:Z)*12%,$F$15)</f>
        <v>0</v>
      </c>
      <c r="AC15" s="347">
        <f>IF(SUMIF('Revenue OFT_2'!$A:$A,"Доходы в мес. Витрео",'Revenue OFT_2'!AA:AA)*12%&gt;$F$15,SUMIF('Revenue OFT_2'!$A:$A,"Доходы в мес. Витрео",'Revenue OFT_2'!AA:AA)*12%,$F$15)</f>
        <v>0</v>
      </c>
      <c r="AD15" s="347">
        <f>IF(SUMIF('Revenue OFT_2'!$A:$A,"Доходы в мес. Витрео",'Revenue OFT_2'!AB:AB)*12%&gt;$F$15,SUMIF('Revenue OFT_2'!$A:$A,"Доходы в мес. Витрео",'Revenue OFT_2'!AB:AB)*12%,$F$15)</f>
        <v>0</v>
      </c>
      <c r="AE15" s="347">
        <f>IF(SUMIF('Revenue OFT_2'!$A:$A,"Доходы в мес. Витрео",'Revenue OFT_2'!AC:AC)*12%&gt;$F$15,SUMIF('Revenue OFT_2'!$A:$A,"Доходы в мес. Витрео",'Revenue OFT_2'!AC:AC)*12%,$F$15)</f>
        <v>0</v>
      </c>
      <c r="AF15" s="347">
        <f>IF(SUMIF('Revenue OFT_2'!$A:$A,"Доходы в мес. Витрео",'Revenue OFT_2'!AD:AD)*12%&gt;$F$15,SUMIF('Revenue OFT_2'!$A:$A,"Доходы в мес. Витрео",'Revenue OFT_2'!AD:AD)*12%,$F$15)</f>
        <v>0</v>
      </c>
      <c r="AG15" s="347">
        <f>IF(SUMIF('Revenue OFT_2'!$A:$A,"Доходы в мес. Витрео",'Revenue OFT_2'!AE:AE)*12%&gt;$F$15,SUMIF('Revenue OFT_2'!$A:$A,"Доходы в мес. Витрео",'Revenue OFT_2'!AE:AE)*12%,$F$15)</f>
        <v>0</v>
      </c>
      <c r="AH15" s="347">
        <f>IF(SUMIF('Revenue OFT_2'!$A:$A,"Доходы в мес. Витрео",'Revenue OFT_2'!AF:AF)*12%&gt;$F$15,SUMIF('Revenue OFT_2'!$A:$A,"Доходы в мес. Витрео",'Revenue OFT_2'!AF:AF)*12%,$F$15)</f>
        <v>0</v>
      </c>
      <c r="AI15" s="347">
        <f>IF(SUMIF('Revenue OFT_2'!$A:$A,"Доходы в мес. Витрео",'Revenue OFT_2'!AG:AG)*12%&gt;$F$15,SUMIF('Revenue OFT_2'!$A:$A,"Доходы в мес. Витрео",'Revenue OFT_2'!AG:AG)*12%,$F$15)</f>
        <v>0</v>
      </c>
      <c r="AJ15" s="347">
        <f>IF(SUMIF('Revenue OFT_2'!$A:$A,"Доходы в мес. Витрео",'Revenue OFT_2'!AH:AH)*12%&gt;$F$15,SUMIF('Revenue OFT_2'!$A:$A,"Доходы в мес. Витрео",'Revenue OFT_2'!AH:AH)*12%,$F$15)</f>
        <v>0</v>
      </c>
      <c r="AK15" s="347">
        <f>IF(SUMIF('Revenue OFT_2'!$A:$A,"Доходы в мес. Витрео",'Revenue OFT_2'!AI:AI)*12%&gt;$F$15,SUMIF('Revenue OFT_2'!$A:$A,"Доходы в мес. Витрео",'Revenue OFT_2'!AI:AI)*12%,$F$15)</f>
        <v>0</v>
      </c>
      <c r="AL15" s="347">
        <f>IF(SUMIF('Revenue OFT_2'!$A:$A,"Доходы в мес. Витрео",'Revenue OFT_2'!AJ:AJ)*12%&gt;$F$15,SUMIF('Revenue OFT_2'!$A:$A,"Доходы в мес. Витрео",'Revenue OFT_2'!AJ:AJ)*12%,$F$15)</f>
        <v>0</v>
      </c>
      <c r="AM15" s="347">
        <f>IF(SUMIF('Revenue OFT_2'!$A:$A,"Доходы в мес. Витрео",'Revenue OFT_2'!AK:AK)*12%&gt;$F$15,SUMIF('Revenue OFT_2'!$A:$A,"Доходы в мес. Витрео",'Revenue OFT_2'!AK:AK)*12%,$F$15)</f>
        <v>0</v>
      </c>
      <c r="AN15" s="347">
        <f>IF(SUMIF('Revenue OFT_2'!$A:$A,"Доходы в мес. Витрео",'Revenue OFT_2'!AL:AL)*12%&gt;$F$15,SUMIF('Revenue OFT_2'!$A:$A,"Доходы в мес. Витрео",'Revenue OFT_2'!AL:AL)*12%,$F$15)</f>
        <v>0</v>
      </c>
      <c r="AO15" s="347">
        <f>IF(SUMIF('Revenue OFT_2'!$A:$A,"Доходы в мес. Витрео",'Revenue OFT_2'!AM:AM)*12%&gt;$F$15,SUMIF('Revenue OFT_2'!$A:$A,"Доходы в мес. Витрео",'Revenue OFT_2'!AM:AM)*12%,$F$15)</f>
        <v>0</v>
      </c>
      <c r="AP15" s="347">
        <f>IF(SUMIF('Revenue OFT_2'!$A:$A,"Доходы в мес. Витрео",'Revenue OFT_2'!AN:AN)*12%&gt;$F$15,SUMIF('Revenue OFT_2'!$A:$A,"Доходы в мес. Витрео",'Revenue OFT_2'!AN:AN)*12%,$F$15)</f>
        <v>0</v>
      </c>
      <c r="AQ15" s="347">
        <f>IF(SUMIF('Revenue OFT_2'!$A:$A,"Доходы в мес. Витрео",'Revenue OFT_2'!AO:AO)*12%&gt;$F$15,SUMIF('Revenue OFT_2'!$A:$A,"Доходы в мес. Витрео",'Revenue OFT_2'!AO:AO)*12%,$F$15)</f>
        <v>0</v>
      </c>
      <c r="AR15" s="347">
        <f>IF(SUMIF('Revenue OFT_2'!$A:$A,"Доходы в мес. Витрео",'Revenue OFT_2'!AP:AP)*12%&gt;$F$15,SUMIF('Revenue OFT_2'!$A:$A,"Доходы в мес. Витрео",'Revenue OFT_2'!AP:AP)*12%,$F$15)</f>
        <v>0</v>
      </c>
      <c r="AS15" s="347">
        <f>IF(SUMIF('Revenue OFT_2'!$A:$A,"Доходы в мес. Витрео",'Revenue OFT_2'!AQ:AQ)*12%&gt;$F$15,SUMIF('Revenue OFT_2'!$A:$A,"Доходы в мес. Витрео",'Revenue OFT_2'!AQ:AQ)*12%,$F$15)</f>
        <v>0</v>
      </c>
      <c r="AT15" s="347">
        <f>IF(SUMIF('Revenue OFT_2'!$A:$A,"Доходы в мес. Витрео",'Revenue OFT_2'!AR:AR)*12%&gt;$F$15,SUMIF('Revenue OFT_2'!$A:$A,"Доходы в мес. Витрео",'Revenue OFT_2'!AR:AR)*12%,$F$15)</f>
        <v>0</v>
      </c>
      <c r="AU15" s="347">
        <f>IF(SUMIF('Revenue OFT_2'!$A:$A,"Доходы в мес. Витрео",'Revenue OFT_2'!AS:AS)*12%&gt;$F$15,SUMIF('Revenue OFT_2'!$A:$A,"Доходы в мес. Витрео",'Revenue OFT_2'!AS:AS)*12%,$F$15)</f>
        <v>0</v>
      </c>
    </row>
    <row r="16" spans="1:48" s="254" customFormat="1" ht="27" customHeight="1">
      <c r="A16" s="254" t="s">
        <v>384</v>
      </c>
      <c r="B16" s="290" t="s">
        <v>373</v>
      </c>
      <c r="C16" s="340">
        <v>2</v>
      </c>
      <c r="D16" s="340">
        <v>2</v>
      </c>
      <c r="E16" s="340">
        <v>2</v>
      </c>
      <c r="F16" s="694"/>
      <c r="G16" s="343">
        <v>0.05</v>
      </c>
      <c r="H16" s="343">
        <v>0.05</v>
      </c>
      <c r="I16" s="695">
        <f t="shared" si="43"/>
        <v>0</v>
      </c>
      <c r="J16" s="695">
        <f t="shared" si="44"/>
        <v>0</v>
      </c>
      <c r="K16" s="695">
        <f t="shared" si="45"/>
        <v>0</v>
      </c>
      <c r="L16" s="696">
        <f t="shared" ref="L16:L31" si="124">F16*C16</f>
        <v>0</v>
      </c>
      <c r="M16" s="146">
        <f t="shared" ref="M16:M31" si="125">L16</f>
        <v>0</v>
      </c>
      <c r="N16" s="146">
        <f t="shared" ref="N16:N22" si="126">M16</f>
        <v>0</v>
      </c>
      <c r="O16" s="146">
        <f t="shared" ref="O16:O22" si="127">N16</f>
        <v>0</v>
      </c>
      <c r="P16" s="146">
        <f t="shared" ref="P16:P22" si="128">O16</f>
        <v>0</v>
      </c>
      <c r="Q16" s="146">
        <f t="shared" ref="Q16:Q22" si="129">P16</f>
        <v>0</v>
      </c>
      <c r="R16" s="146">
        <f t="shared" ref="R16:R22" si="130">Q16</f>
        <v>0</v>
      </c>
      <c r="S16" s="146">
        <f t="shared" ref="S16:S22" si="131">R16</f>
        <v>0</v>
      </c>
      <c r="T16" s="146">
        <f t="shared" ref="T16:T22" si="132">S16</f>
        <v>0</v>
      </c>
      <c r="U16" s="146">
        <f t="shared" ref="U16:U22" si="133">T16</f>
        <v>0</v>
      </c>
      <c r="V16" s="146">
        <f t="shared" ref="V16:V22" si="134">U16</f>
        <v>0</v>
      </c>
      <c r="W16" s="146">
        <f t="shared" ref="W16:W22" si="135">V16</f>
        <v>0</v>
      </c>
      <c r="X16" s="146">
        <f t="shared" ref="X16:X22" si="136">F16*(1+G16)*D16</f>
        <v>0</v>
      </c>
      <c r="Y16" s="146">
        <f t="shared" ref="Y16:Y22" si="137">X16</f>
        <v>0</v>
      </c>
      <c r="Z16" s="146">
        <f t="shared" ref="Z16:Z22" si="138">Y16</f>
        <v>0</v>
      </c>
      <c r="AA16" s="146">
        <f t="shared" ref="AA16:AA22" si="139">Z16</f>
        <v>0</v>
      </c>
      <c r="AB16" s="146">
        <f t="shared" ref="AB16:AB22" si="140">AA16</f>
        <v>0</v>
      </c>
      <c r="AC16" s="146">
        <f t="shared" ref="AC16:AC22" si="141">AB16</f>
        <v>0</v>
      </c>
      <c r="AD16" s="146">
        <f t="shared" ref="AD16:AD22" si="142">AC16</f>
        <v>0</v>
      </c>
      <c r="AE16" s="146">
        <f t="shared" ref="AE16:AE22" si="143">AD16</f>
        <v>0</v>
      </c>
      <c r="AF16" s="146">
        <f t="shared" ref="AF16:AF22" si="144">AE16</f>
        <v>0</v>
      </c>
      <c r="AG16" s="146">
        <f t="shared" ref="AG16:AG22" si="145">AF16</f>
        <v>0</v>
      </c>
      <c r="AH16" s="146">
        <f t="shared" ref="AH16:AH22" si="146">AG16</f>
        <v>0</v>
      </c>
      <c r="AI16" s="146">
        <f t="shared" ref="AI16:AI22" si="147">AH16</f>
        <v>0</v>
      </c>
      <c r="AJ16" s="146">
        <f t="shared" ref="AJ16:AJ22" si="148">F16*(1+G16)*(1+H16)*E16</f>
        <v>0</v>
      </c>
      <c r="AK16" s="146">
        <f t="shared" ref="AK16:AK22" si="149">AJ16</f>
        <v>0</v>
      </c>
      <c r="AL16" s="146">
        <f t="shared" ref="AL16:AL22" si="150">AK16</f>
        <v>0</v>
      </c>
      <c r="AM16" s="146">
        <f t="shared" ref="AM16:AM22" si="151">AL16</f>
        <v>0</v>
      </c>
      <c r="AN16" s="146">
        <f t="shared" ref="AN16:AN22" si="152">AM16</f>
        <v>0</v>
      </c>
      <c r="AO16" s="146">
        <f t="shared" ref="AO16:AO22" si="153">AN16</f>
        <v>0</v>
      </c>
      <c r="AP16" s="146">
        <f t="shared" ref="AP16:AP22" si="154">AO16</f>
        <v>0</v>
      </c>
      <c r="AQ16" s="146">
        <f t="shared" ref="AQ16:AQ22" si="155">AP16</f>
        <v>0</v>
      </c>
      <c r="AR16" s="146">
        <f t="shared" ref="AR16:AR22" si="156">AQ16</f>
        <v>0</v>
      </c>
      <c r="AS16" s="146">
        <f t="shared" ref="AS16:AS22" si="157">AR16</f>
        <v>0</v>
      </c>
      <c r="AT16" s="146">
        <f t="shared" ref="AT16:AT22" si="158">AS16</f>
        <v>0</v>
      </c>
      <c r="AU16" s="146">
        <f t="shared" ref="AU16:AU22" si="159">AT16</f>
        <v>0</v>
      </c>
    </row>
    <row r="17" spans="1:47" s="254" customFormat="1" ht="27" customHeight="1">
      <c r="A17" s="254" t="s">
        <v>311</v>
      </c>
      <c r="B17" s="147" t="s">
        <v>374</v>
      </c>
      <c r="C17" s="340">
        <v>1</v>
      </c>
      <c r="D17" s="340">
        <v>1</v>
      </c>
      <c r="E17" s="340">
        <v>1</v>
      </c>
      <c r="F17" s="694"/>
      <c r="G17" s="343">
        <v>0.05</v>
      </c>
      <c r="H17" s="343">
        <v>0.05</v>
      </c>
      <c r="I17" s="695">
        <f t="shared" si="43"/>
        <v>0</v>
      </c>
      <c r="J17" s="695">
        <f t="shared" si="44"/>
        <v>0</v>
      </c>
      <c r="K17" s="695">
        <f t="shared" si="45"/>
        <v>0</v>
      </c>
      <c r="L17" s="696">
        <f t="shared" si="124"/>
        <v>0</v>
      </c>
      <c r="M17" s="146">
        <f t="shared" si="125"/>
        <v>0</v>
      </c>
      <c r="N17" s="146">
        <f t="shared" si="126"/>
        <v>0</v>
      </c>
      <c r="O17" s="146">
        <f t="shared" si="127"/>
        <v>0</v>
      </c>
      <c r="P17" s="146">
        <f t="shared" si="128"/>
        <v>0</v>
      </c>
      <c r="Q17" s="146">
        <f t="shared" si="129"/>
        <v>0</v>
      </c>
      <c r="R17" s="146">
        <f t="shared" si="130"/>
        <v>0</v>
      </c>
      <c r="S17" s="146">
        <f t="shared" si="131"/>
        <v>0</v>
      </c>
      <c r="T17" s="146">
        <f t="shared" si="132"/>
        <v>0</v>
      </c>
      <c r="U17" s="146">
        <f t="shared" si="133"/>
        <v>0</v>
      </c>
      <c r="V17" s="146">
        <f t="shared" si="134"/>
        <v>0</v>
      </c>
      <c r="W17" s="146">
        <f t="shared" si="135"/>
        <v>0</v>
      </c>
      <c r="X17" s="146">
        <f t="shared" si="136"/>
        <v>0</v>
      </c>
      <c r="Y17" s="146">
        <f t="shared" si="137"/>
        <v>0</v>
      </c>
      <c r="Z17" s="146">
        <f t="shared" si="138"/>
        <v>0</v>
      </c>
      <c r="AA17" s="146">
        <f t="shared" si="139"/>
        <v>0</v>
      </c>
      <c r="AB17" s="146">
        <f t="shared" si="140"/>
        <v>0</v>
      </c>
      <c r="AC17" s="146">
        <f t="shared" si="141"/>
        <v>0</v>
      </c>
      <c r="AD17" s="146">
        <f t="shared" si="142"/>
        <v>0</v>
      </c>
      <c r="AE17" s="146">
        <f t="shared" si="143"/>
        <v>0</v>
      </c>
      <c r="AF17" s="146">
        <f t="shared" si="144"/>
        <v>0</v>
      </c>
      <c r="AG17" s="146">
        <f t="shared" si="145"/>
        <v>0</v>
      </c>
      <c r="AH17" s="146">
        <f t="shared" si="146"/>
        <v>0</v>
      </c>
      <c r="AI17" s="146">
        <f t="shared" si="147"/>
        <v>0</v>
      </c>
      <c r="AJ17" s="146">
        <f t="shared" si="148"/>
        <v>0</v>
      </c>
      <c r="AK17" s="146">
        <f t="shared" si="149"/>
        <v>0</v>
      </c>
      <c r="AL17" s="146">
        <f t="shared" si="150"/>
        <v>0</v>
      </c>
      <c r="AM17" s="146">
        <f t="shared" si="151"/>
        <v>0</v>
      </c>
      <c r="AN17" s="146">
        <f t="shared" si="152"/>
        <v>0</v>
      </c>
      <c r="AO17" s="146">
        <f t="shared" si="153"/>
        <v>0</v>
      </c>
      <c r="AP17" s="146">
        <f t="shared" si="154"/>
        <v>0</v>
      </c>
      <c r="AQ17" s="146">
        <f t="shared" si="155"/>
        <v>0</v>
      </c>
      <c r="AR17" s="146">
        <f t="shared" si="156"/>
        <v>0</v>
      </c>
      <c r="AS17" s="146">
        <f t="shared" si="157"/>
        <v>0</v>
      </c>
      <c r="AT17" s="146">
        <f t="shared" si="158"/>
        <v>0</v>
      </c>
      <c r="AU17" s="146">
        <f t="shared" si="159"/>
        <v>0</v>
      </c>
    </row>
    <row r="18" spans="1:47" s="254" customFormat="1" ht="27" customHeight="1">
      <c r="A18" s="254" t="s">
        <v>198</v>
      </c>
      <c r="B18" s="147" t="s">
        <v>375</v>
      </c>
      <c r="C18" s="340">
        <v>1</v>
      </c>
      <c r="D18" s="340">
        <v>1</v>
      </c>
      <c r="E18" s="340">
        <v>1</v>
      </c>
      <c r="F18" s="694"/>
      <c r="G18" s="343">
        <v>0.05</v>
      </c>
      <c r="H18" s="343">
        <v>0.05</v>
      </c>
      <c r="I18" s="695">
        <f t="shared" si="43"/>
        <v>0</v>
      </c>
      <c r="J18" s="695">
        <f t="shared" si="44"/>
        <v>0</v>
      </c>
      <c r="K18" s="695">
        <f t="shared" si="45"/>
        <v>0</v>
      </c>
      <c r="L18" s="696">
        <f t="shared" si="124"/>
        <v>0</v>
      </c>
      <c r="M18" s="146">
        <f t="shared" si="125"/>
        <v>0</v>
      </c>
      <c r="N18" s="146">
        <f t="shared" si="126"/>
        <v>0</v>
      </c>
      <c r="O18" s="146">
        <f t="shared" si="127"/>
        <v>0</v>
      </c>
      <c r="P18" s="146">
        <f t="shared" si="128"/>
        <v>0</v>
      </c>
      <c r="Q18" s="146">
        <f t="shared" si="129"/>
        <v>0</v>
      </c>
      <c r="R18" s="146">
        <f t="shared" si="130"/>
        <v>0</v>
      </c>
      <c r="S18" s="146">
        <f t="shared" si="131"/>
        <v>0</v>
      </c>
      <c r="T18" s="146">
        <f t="shared" si="132"/>
        <v>0</v>
      </c>
      <c r="U18" s="146">
        <f t="shared" si="133"/>
        <v>0</v>
      </c>
      <c r="V18" s="146">
        <f t="shared" si="134"/>
        <v>0</v>
      </c>
      <c r="W18" s="146">
        <f t="shared" si="135"/>
        <v>0</v>
      </c>
      <c r="X18" s="146">
        <f t="shared" si="136"/>
        <v>0</v>
      </c>
      <c r="Y18" s="146">
        <f t="shared" si="137"/>
        <v>0</v>
      </c>
      <c r="Z18" s="146">
        <f t="shared" si="138"/>
        <v>0</v>
      </c>
      <c r="AA18" s="146">
        <f t="shared" si="139"/>
        <v>0</v>
      </c>
      <c r="AB18" s="146">
        <f t="shared" si="140"/>
        <v>0</v>
      </c>
      <c r="AC18" s="146">
        <f t="shared" si="141"/>
        <v>0</v>
      </c>
      <c r="AD18" s="146">
        <f t="shared" si="142"/>
        <v>0</v>
      </c>
      <c r="AE18" s="146">
        <f t="shared" si="143"/>
        <v>0</v>
      </c>
      <c r="AF18" s="146">
        <f t="shared" si="144"/>
        <v>0</v>
      </c>
      <c r="AG18" s="146">
        <f t="shared" si="145"/>
        <v>0</v>
      </c>
      <c r="AH18" s="146">
        <f t="shared" si="146"/>
        <v>0</v>
      </c>
      <c r="AI18" s="146">
        <f t="shared" si="147"/>
        <v>0</v>
      </c>
      <c r="AJ18" s="146">
        <f t="shared" si="148"/>
        <v>0</v>
      </c>
      <c r="AK18" s="146">
        <f t="shared" si="149"/>
        <v>0</v>
      </c>
      <c r="AL18" s="146">
        <f t="shared" si="150"/>
        <v>0</v>
      </c>
      <c r="AM18" s="146">
        <f t="shared" si="151"/>
        <v>0</v>
      </c>
      <c r="AN18" s="146">
        <f t="shared" si="152"/>
        <v>0</v>
      </c>
      <c r="AO18" s="146">
        <f t="shared" si="153"/>
        <v>0</v>
      </c>
      <c r="AP18" s="146">
        <f t="shared" si="154"/>
        <v>0</v>
      </c>
      <c r="AQ18" s="146">
        <f t="shared" si="155"/>
        <v>0</v>
      </c>
      <c r="AR18" s="146">
        <f t="shared" si="156"/>
        <v>0</v>
      </c>
      <c r="AS18" s="146">
        <f t="shared" si="157"/>
        <v>0</v>
      </c>
      <c r="AT18" s="146">
        <f t="shared" si="158"/>
        <v>0</v>
      </c>
      <c r="AU18" s="146">
        <f t="shared" si="159"/>
        <v>0</v>
      </c>
    </row>
    <row r="19" spans="1:47" s="254" customFormat="1" ht="27" customHeight="1">
      <c r="A19" s="254" t="s">
        <v>378</v>
      </c>
      <c r="B19" s="147" t="s">
        <v>375</v>
      </c>
      <c r="C19" s="340">
        <v>2</v>
      </c>
      <c r="D19" s="340">
        <v>4</v>
      </c>
      <c r="E19" s="340">
        <v>4</v>
      </c>
      <c r="F19" s="694"/>
      <c r="G19" s="343">
        <v>0.05</v>
      </c>
      <c r="H19" s="343">
        <v>0.05</v>
      </c>
      <c r="I19" s="695">
        <f t="shared" si="43"/>
        <v>0</v>
      </c>
      <c r="J19" s="695">
        <f t="shared" si="44"/>
        <v>0</v>
      </c>
      <c r="K19" s="695">
        <f t="shared" si="45"/>
        <v>0</v>
      </c>
      <c r="L19" s="696">
        <f t="shared" si="124"/>
        <v>0</v>
      </c>
      <c r="M19" s="146">
        <f t="shared" si="125"/>
        <v>0</v>
      </c>
      <c r="N19" s="146">
        <f t="shared" si="126"/>
        <v>0</v>
      </c>
      <c r="O19" s="146">
        <f t="shared" si="127"/>
        <v>0</v>
      </c>
      <c r="P19" s="146">
        <f t="shared" si="128"/>
        <v>0</v>
      </c>
      <c r="Q19" s="146">
        <f t="shared" si="129"/>
        <v>0</v>
      </c>
      <c r="R19" s="146">
        <f t="shared" si="130"/>
        <v>0</v>
      </c>
      <c r="S19" s="146">
        <f t="shared" si="131"/>
        <v>0</v>
      </c>
      <c r="T19" s="146">
        <f t="shared" si="132"/>
        <v>0</v>
      </c>
      <c r="U19" s="146">
        <f t="shared" si="133"/>
        <v>0</v>
      </c>
      <c r="V19" s="146">
        <f t="shared" si="134"/>
        <v>0</v>
      </c>
      <c r="W19" s="146">
        <f t="shared" si="135"/>
        <v>0</v>
      </c>
      <c r="X19" s="146">
        <f t="shared" si="136"/>
        <v>0</v>
      </c>
      <c r="Y19" s="146">
        <f t="shared" si="137"/>
        <v>0</v>
      </c>
      <c r="Z19" s="146">
        <f t="shared" si="138"/>
        <v>0</v>
      </c>
      <c r="AA19" s="146">
        <f t="shared" si="139"/>
        <v>0</v>
      </c>
      <c r="AB19" s="146">
        <f t="shared" si="140"/>
        <v>0</v>
      </c>
      <c r="AC19" s="146">
        <f t="shared" si="141"/>
        <v>0</v>
      </c>
      <c r="AD19" s="146">
        <f t="shared" si="142"/>
        <v>0</v>
      </c>
      <c r="AE19" s="146">
        <f t="shared" si="143"/>
        <v>0</v>
      </c>
      <c r="AF19" s="146">
        <f t="shared" si="144"/>
        <v>0</v>
      </c>
      <c r="AG19" s="146">
        <f t="shared" si="145"/>
        <v>0</v>
      </c>
      <c r="AH19" s="146">
        <f t="shared" si="146"/>
        <v>0</v>
      </c>
      <c r="AI19" s="146">
        <f t="shared" si="147"/>
        <v>0</v>
      </c>
      <c r="AJ19" s="146">
        <f t="shared" si="148"/>
        <v>0</v>
      </c>
      <c r="AK19" s="146">
        <f t="shared" si="149"/>
        <v>0</v>
      </c>
      <c r="AL19" s="146">
        <f t="shared" si="150"/>
        <v>0</v>
      </c>
      <c r="AM19" s="146">
        <f t="shared" si="151"/>
        <v>0</v>
      </c>
      <c r="AN19" s="146">
        <f t="shared" si="152"/>
        <v>0</v>
      </c>
      <c r="AO19" s="146">
        <f t="shared" si="153"/>
        <v>0</v>
      </c>
      <c r="AP19" s="146">
        <f t="shared" si="154"/>
        <v>0</v>
      </c>
      <c r="AQ19" s="146">
        <f t="shared" si="155"/>
        <v>0</v>
      </c>
      <c r="AR19" s="146">
        <f t="shared" si="156"/>
        <v>0</v>
      </c>
      <c r="AS19" s="146">
        <f t="shared" si="157"/>
        <v>0</v>
      </c>
      <c r="AT19" s="146">
        <f t="shared" si="158"/>
        <v>0</v>
      </c>
      <c r="AU19" s="146">
        <f t="shared" si="159"/>
        <v>0</v>
      </c>
    </row>
    <row r="20" spans="1:47" s="254" customFormat="1" ht="27" customHeight="1">
      <c r="A20" s="254" t="s">
        <v>376</v>
      </c>
      <c r="B20" s="147" t="s">
        <v>375</v>
      </c>
      <c r="C20" s="340">
        <v>1</v>
      </c>
      <c r="D20" s="340">
        <v>2</v>
      </c>
      <c r="E20" s="340">
        <v>2</v>
      </c>
      <c r="F20" s="694"/>
      <c r="G20" s="343">
        <v>0.05</v>
      </c>
      <c r="H20" s="343">
        <v>0.05</v>
      </c>
      <c r="I20" s="695">
        <f t="shared" si="43"/>
        <v>0</v>
      </c>
      <c r="J20" s="695">
        <f t="shared" si="44"/>
        <v>0</v>
      </c>
      <c r="K20" s="695">
        <f t="shared" si="45"/>
        <v>0</v>
      </c>
      <c r="L20" s="696">
        <f t="shared" si="124"/>
        <v>0</v>
      </c>
      <c r="M20" s="146">
        <f t="shared" si="125"/>
        <v>0</v>
      </c>
      <c r="N20" s="146">
        <f t="shared" si="126"/>
        <v>0</v>
      </c>
      <c r="O20" s="146">
        <f t="shared" si="127"/>
        <v>0</v>
      </c>
      <c r="P20" s="146">
        <f t="shared" si="128"/>
        <v>0</v>
      </c>
      <c r="Q20" s="146">
        <f t="shared" si="129"/>
        <v>0</v>
      </c>
      <c r="R20" s="146">
        <f t="shared" si="130"/>
        <v>0</v>
      </c>
      <c r="S20" s="146">
        <f t="shared" si="131"/>
        <v>0</v>
      </c>
      <c r="T20" s="146">
        <f t="shared" si="132"/>
        <v>0</v>
      </c>
      <c r="U20" s="146">
        <f t="shared" si="133"/>
        <v>0</v>
      </c>
      <c r="V20" s="146">
        <f t="shared" si="134"/>
        <v>0</v>
      </c>
      <c r="W20" s="146">
        <f t="shared" si="135"/>
        <v>0</v>
      </c>
      <c r="X20" s="146">
        <f t="shared" si="136"/>
        <v>0</v>
      </c>
      <c r="Y20" s="146">
        <f t="shared" si="137"/>
        <v>0</v>
      </c>
      <c r="Z20" s="146">
        <f t="shared" si="138"/>
        <v>0</v>
      </c>
      <c r="AA20" s="146">
        <f t="shared" si="139"/>
        <v>0</v>
      </c>
      <c r="AB20" s="146">
        <f t="shared" si="140"/>
        <v>0</v>
      </c>
      <c r="AC20" s="146">
        <f t="shared" si="141"/>
        <v>0</v>
      </c>
      <c r="AD20" s="146">
        <f t="shared" si="142"/>
        <v>0</v>
      </c>
      <c r="AE20" s="146">
        <f t="shared" si="143"/>
        <v>0</v>
      </c>
      <c r="AF20" s="146">
        <f t="shared" si="144"/>
        <v>0</v>
      </c>
      <c r="AG20" s="146">
        <f t="shared" si="145"/>
        <v>0</v>
      </c>
      <c r="AH20" s="146">
        <f t="shared" si="146"/>
        <v>0</v>
      </c>
      <c r="AI20" s="146">
        <f t="shared" si="147"/>
        <v>0</v>
      </c>
      <c r="AJ20" s="146">
        <f t="shared" si="148"/>
        <v>0</v>
      </c>
      <c r="AK20" s="146">
        <f t="shared" si="149"/>
        <v>0</v>
      </c>
      <c r="AL20" s="146">
        <f t="shared" si="150"/>
        <v>0</v>
      </c>
      <c r="AM20" s="146">
        <f t="shared" si="151"/>
        <v>0</v>
      </c>
      <c r="AN20" s="146">
        <f t="shared" si="152"/>
        <v>0</v>
      </c>
      <c r="AO20" s="146">
        <f t="shared" si="153"/>
        <v>0</v>
      </c>
      <c r="AP20" s="146">
        <f t="shared" si="154"/>
        <v>0</v>
      </c>
      <c r="AQ20" s="146">
        <f t="shared" si="155"/>
        <v>0</v>
      </c>
      <c r="AR20" s="146">
        <f t="shared" si="156"/>
        <v>0</v>
      </c>
      <c r="AS20" s="146">
        <f t="shared" si="157"/>
        <v>0</v>
      </c>
      <c r="AT20" s="146">
        <f t="shared" si="158"/>
        <v>0</v>
      </c>
      <c r="AU20" s="146">
        <f t="shared" si="159"/>
        <v>0</v>
      </c>
    </row>
    <row r="21" spans="1:47" s="254" customFormat="1" ht="27" customHeight="1">
      <c r="A21" s="254" t="s">
        <v>377</v>
      </c>
      <c r="B21" s="147" t="s">
        <v>375</v>
      </c>
      <c r="C21" s="340">
        <v>1</v>
      </c>
      <c r="D21" s="340">
        <v>2</v>
      </c>
      <c r="E21" s="340">
        <v>2</v>
      </c>
      <c r="F21" s="694"/>
      <c r="G21" s="343">
        <v>0.05</v>
      </c>
      <c r="H21" s="343">
        <v>0.05</v>
      </c>
      <c r="I21" s="695">
        <f t="shared" si="43"/>
        <v>0</v>
      </c>
      <c r="J21" s="695">
        <f t="shared" si="44"/>
        <v>0</v>
      </c>
      <c r="K21" s="695">
        <f t="shared" si="45"/>
        <v>0</v>
      </c>
      <c r="L21" s="696">
        <f t="shared" si="124"/>
        <v>0</v>
      </c>
      <c r="M21" s="146">
        <f t="shared" si="125"/>
        <v>0</v>
      </c>
      <c r="N21" s="146">
        <f t="shared" si="126"/>
        <v>0</v>
      </c>
      <c r="O21" s="146">
        <f t="shared" si="127"/>
        <v>0</v>
      </c>
      <c r="P21" s="146">
        <f t="shared" si="128"/>
        <v>0</v>
      </c>
      <c r="Q21" s="146">
        <f t="shared" si="129"/>
        <v>0</v>
      </c>
      <c r="R21" s="146">
        <f t="shared" si="130"/>
        <v>0</v>
      </c>
      <c r="S21" s="146">
        <f t="shared" si="131"/>
        <v>0</v>
      </c>
      <c r="T21" s="146">
        <f t="shared" si="132"/>
        <v>0</v>
      </c>
      <c r="U21" s="146">
        <f t="shared" si="133"/>
        <v>0</v>
      </c>
      <c r="V21" s="146">
        <f t="shared" si="134"/>
        <v>0</v>
      </c>
      <c r="W21" s="146">
        <f t="shared" si="135"/>
        <v>0</v>
      </c>
      <c r="X21" s="146">
        <f t="shared" si="136"/>
        <v>0</v>
      </c>
      <c r="Y21" s="146">
        <f t="shared" si="137"/>
        <v>0</v>
      </c>
      <c r="Z21" s="146">
        <f t="shared" si="138"/>
        <v>0</v>
      </c>
      <c r="AA21" s="146">
        <f t="shared" si="139"/>
        <v>0</v>
      </c>
      <c r="AB21" s="146">
        <f t="shared" si="140"/>
        <v>0</v>
      </c>
      <c r="AC21" s="146">
        <f t="shared" si="141"/>
        <v>0</v>
      </c>
      <c r="AD21" s="146">
        <f t="shared" si="142"/>
        <v>0</v>
      </c>
      <c r="AE21" s="146">
        <f t="shared" si="143"/>
        <v>0</v>
      </c>
      <c r="AF21" s="146">
        <f t="shared" si="144"/>
        <v>0</v>
      </c>
      <c r="AG21" s="146">
        <f t="shared" si="145"/>
        <v>0</v>
      </c>
      <c r="AH21" s="146">
        <f t="shared" si="146"/>
        <v>0</v>
      </c>
      <c r="AI21" s="146">
        <f t="shared" si="147"/>
        <v>0</v>
      </c>
      <c r="AJ21" s="146">
        <f t="shared" si="148"/>
        <v>0</v>
      </c>
      <c r="AK21" s="146">
        <f t="shared" si="149"/>
        <v>0</v>
      </c>
      <c r="AL21" s="146">
        <f t="shared" si="150"/>
        <v>0</v>
      </c>
      <c r="AM21" s="146">
        <f t="shared" si="151"/>
        <v>0</v>
      </c>
      <c r="AN21" s="146">
        <f t="shared" si="152"/>
        <v>0</v>
      </c>
      <c r="AO21" s="146">
        <f t="shared" si="153"/>
        <v>0</v>
      </c>
      <c r="AP21" s="146">
        <f t="shared" si="154"/>
        <v>0</v>
      </c>
      <c r="AQ21" s="146">
        <f t="shared" si="155"/>
        <v>0</v>
      </c>
      <c r="AR21" s="146">
        <f t="shared" si="156"/>
        <v>0</v>
      </c>
      <c r="AS21" s="146">
        <f t="shared" si="157"/>
        <v>0</v>
      </c>
      <c r="AT21" s="146">
        <f t="shared" si="158"/>
        <v>0</v>
      </c>
      <c r="AU21" s="146">
        <f t="shared" si="159"/>
        <v>0</v>
      </c>
    </row>
    <row r="22" spans="1:47" s="254" customFormat="1" ht="27" customHeight="1">
      <c r="A22" s="254" t="s">
        <v>385</v>
      </c>
      <c r="B22" s="147" t="s">
        <v>375</v>
      </c>
      <c r="C22" s="340">
        <v>1</v>
      </c>
      <c r="D22" s="340">
        <v>2</v>
      </c>
      <c r="E22" s="340">
        <v>2</v>
      </c>
      <c r="F22" s="694"/>
      <c r="G22" s="343">
        <v>0.05</v>
      </c>
      <c r="H22" s="343">
        <v>0.05</v>
      </c>
      <c r="I22" s="695">
        <f t="shared" si="43"/>
        <v>0</v>
      </c>
      <c r="J22" s="695">
        <f t="shared" si="44"/>
        <v>0</v>
      </c>
      <c r="K22" s="695">
        <f t="shared" si="45"/>
        <v>0</v>
      </c>
      <c r="L22" s="696">
        <f t="shared" si="124"/>
        <v>0</v>
      </c>
      <c r="M22" s="146">
        <f t="shared" si="125"/>
        <v>0</v>
      </c>
      <c r="N22" s="146">
        <f t="shared" si="126"/>
        <v>0</v>
      </c>
      <c r="O22" s="146">
        <f t="shared" si="127"/>
        <v>0</v>
      </c>
      <c r="P22" s="146">
        <f t="shared" si="128"/>
        <v>0</v>
      </c>
      <c r="Q22" s="146">
        <f t="shared" si="129"/>
        <v>0</v>
      </c>
      <c r="R22" s="146">
        <f t="shared" si="130"/>
        <v>0</v>
      </c>
      <c r="S22" s="146">
        <f t="shared" si="131"/>
        <v>0</v>
      </c>
      <c r="T22" s="146">
        <f t="shared" si="132"/>
        <v>0</v>
      </c>
      <c r="U22" s="146">
        <f t="shared" si="133"/>
        <v>0</v>
      </c>
      <c r="V22" s="146">
        <f t="shared" si="134"/>
        <v>0</v>
      </c>
      <c r="W22" s="146">
        <f t="shared" si="135"/>
        <v>0</v>
      </c>
      <c r="X22" s="146">
        <f t="shared" si="136"/>
        <v>0</v>
      </c>
      <c r="Y22" s="146">
        <f t="shared" si="137"/>
        <v>0</v>
      </c>
      <c r="Z22" s="146">
        <f t="shared" si="138"/>
        <v>0</v>
      </c>
      <c r="AA22" s="146">
        <f t="shared" si="139"/>
        <v>0</v>
      </c>
      <c r="AB22" s="146">
        <f t="shared" si="140"/>
        <v>0</v>
      </c>
      <c r="AC22" s="146">
        <f t="shared" si="141"/>
        <v>0</v>
      </c>
      <c r="AD22" s="146">
        <f t="shared" si="142"/>
        <v>0</v>
      </c>
      <c r="AE22" s="146">
        <f t="shared" si="143"/>
        <v>0</v>
      </c>
      <c r="AF22" s="146">
        <f t="shared" si="144"/>
        <v>0</v>
      </c>
      <c r="AG22" s="146">
        <f t="shared" si="145"/>
        <v>0</v>
      </c>
      <c r="AH22" s="146">
        <f t="shared" si="146"/>
        <v>0</v>
      </c>
      <c r="AI22" s="146">
        <f t="shared" si="147"/>
        <v>0</v>
      </c>
      <c r="AJ22" s="146">
        <f t="shared" si="148"/>
        <v>0</v>
      </c>
      <c r="AK22" s="146">
        <f t="shared" si="149"/>
        <v>0</v>
      </c>
      <c r="AL22" s="146">
        <f t="shared" si="150"/>
        <v>0</v>
      </c>
      <c r="AM22" s="146">
        <f t="shared" si="151"/>
        <v>0</v>
      </c>
      <c r="AN22" s="146">
        <f t="shared" si="152"/>
        <v>0</v>
      </c>
      <c r="AO22" s="146">
        <f t="shared" si="153"/>
        <v>0</v>
      </c>
      <c r="AP22" s="146">
        <f t="shared" si="154"/>
        <v>0</v>
      </c>
      <c r="AQ22" s="146">
        <f t="shared" si="155"/>
        <v>0</v>
      </c>
      <c r="AR22" s="146">
        <f t="shared" si="156"/>
        <v>0</v>
      </c>
      <c r="AS22" s="146">
        <f t="shared" si="157"/>
        <v>0</v>
      </c>
      <c r="AT22" s="146">
        <f t="shared" si="158"/>
        <v>0</v>
      </c>
      <c r="AU22" s="146">
        <f t="shared" si="159"/>
        <v>0</v>
      </c>
    </row>
    <row r="23" spans="1:47" s="254" customFormat="1" ht="27" customHeight="1">
      <c r="A23" s="254" t="s">
        <v>386</v>
      </c>
      <c r="B23" s="147" t="s">
        <v>375</v>
      </c>
      <c r="C23" s="340">
        <v>1</v>
      </c>
      <c r="D23" s="340">
        <v>1</v>
      </c>
      <c r="E23" s="340">
        <v>1</v>
      </c>
      <c r="F23" s="694"/>
      <c r="G23" s="343">
        <v>0.05</v>
      </c>
      <c r="H23" s="343">
        <v>0.05</v>
      </c>
      <c r="I23" s="695">
        <f t="shared" si="43"/>
        <v>0</v>
      </c>
      <c r="J23" s="695">
        <f t="shared" si="44"/>
        <v>0</v>
      </c>
      <c r="K23" s="695">
        <f t="shared" si="45"/>
        <v>0</v>
      </c>
      <c r="L23" s="696">
        <f t="shared" ref="L23" si="160">F23*C23</f>
        <v>0</v>
      </c>
      <c r="M23" s="146">
        <f t="shared" ref="M23" si="161">L23</f>
        <v>0</v>
      </c>
      <c r="N23" s="146">
        <f t="shared" ref="N23" si="162">M23</f>
        <v>0</v>
      </c>
      <c r="O23" s="146">
        <f t="shared" ref="O23" si="163">N23</f>
        <v>0</v>
      </c>
      <c r="P23" s="146">
        <f t="shared" ref="P23" si="164">O23</f>
        <v>0</v>
      </c>
      <c r="Q23" s="146">
        <f t="shared" ref="Q23" si="165">P23</f>
        <v>0</v>
      </c>
      <c r="R23" s="146">
        <f t="shared" ref="R23" si="166">Q23</f>
        <v>0</v>
      </c>
      <c r="S23" s="146">
        <f t="shared" ref="S23" si="167">R23</f>
        <v>0</v>
      </c>
      <c r="T23" s="146">
        <f t="shared" ref="T23" si="168">S23</f>
        <v>0</v>
      </c>
      <c r="U23" s="146">
        <f t="shared" ref="U23" si="169">T23</f>
        <v>0</v>
      </c>
      <c r="V23" s="146">
        <f t="shared" ref="V23" si="170">U23</f>
        <v>0</v>
      </c>
      <c r="W23" s="146">
        <f t="shared" ref="W23" si="171">V23</f>
        <v>0</v>
      </c>
      <c r="X23" s="146">
        <f t="shared" ref="X23" si="172">F23*(1+G23)*D23</f>
        <v>0</v>
      </c>
      <c r="Y23" s="146">
        <f t="shared" ref="Y23" si="173">X23</f>
        <v>0</v>
      </c>
      <c r="Z23" s="146">
        <f t="shared" ref="Z23" si="174">Y23</f>
        <v>0</v>
      </c>
      <c r="AA23" s="146">
        <f t="shared" ref="AA23" si="175">Z23</f>
        <v>0</v>
      </c>
      <c r="AB23" s="146">
        <f t="shared" ref="AB23" si="176">AA23</f>
        <v>0</v>
      </c>
      <c r="AC23" s="146">
        <f t="shared" ref="AC23" si="177">AB23</f>
        <v>0</v>
      </c>
      <c r="AD23" s="146">
        <f t="shared" ref="AD23" si="178">AC23</f>
        <v>0</v>
      </c>
      <c r="AE23" s="146">
        <f t="shared" ref="AE23" si="179">AD23</f>
        <v>0</v>
      </c>
      <c r="AF23" s="146">
        <f t="shared" ref="AF23" si="180">AE23</f>
        <v>0</v>
      </c>
      <c r="AG23" s="146">
        <f t="shared" ref="AG23" si="181">AF23</f>
        <v>0</v>
      </c>
      <c r="AH23" s="146">
        <f t="shared" ref="AH23" si="182">AG23</f>
        <v>0</v>
      </c>
      <c r="AI23" s="146">
        <f t="shared" ref="AI23" si="183">AH23</f>
        <v>0</v>
      </c>
      <c r="AJ23" s="146">
        <f t="shared" ref="AJ23" si="184">F23*(1+G23)*(1+H23)*E23</f>
        <v>0</v>
      </c>
      <c r="AK23" s="146">
        <f t="shared" ref="AK23" si="185">AJ23</f>
        <v>0</v>
      </c>
      <c r="AL23" s="146">
        <f t="shared" ref="AL23" si="186">AK23</f>
        <v>0</v>
      </c>
      <c r="AM23" s="146">
        <f t="shared" ref="AM23" si="187">AL23</f>
        <v>0</v>
      </c>
      <c r="AN23" s="146">
        <f t="shared" ref="AN23" si="188">AM23</f>
        <v>0</v>
      </c>
      <c r="AO23" s="146">
        <f t="shared" ref="AO23" si="189">AN23</f>
        <v>0</v>
      </c>
      <c r="AP23" s="146">
        <f t="shared" ref="AP23" si="190">AO23</f>
        <v>0</v>
      </c>
      <c r="AQ23" s="146">
        <f t="shared" ref="AQ23" si="191">AP23</f>
        <v>0</v>
      </c>
      <c r="AR23" s="146">
        <f t="shared" ref="AR23" si="192">AQ23</f>
        <v>0</v>
      </c>
      <c r="AS23" s="146">
        <f t="shared" ref="AS23" si="193">AR23</f>
        <v>0</v>
      </c>
      <c r="AT23" s="146">
        <f t="shared" ref="AT23" si="194">AS23</f>
        <v>0</v>
      </c>
      <c r="AU23" s="146">
        <f t="shared" ref="AU23" si="195">AT23</f>
        <v>0</v>
      </c>
    </row>
    <row r="24" spans="1:47" s="254" customFormat="1" ht="27" customHeight="1">
      <c r="A24" s="254" t="s">
        <v>312</v>
      </c>
      <c r="B24" s="147" t="s">
        <v>375</v>
      </c>
      <c r="C24" s="340">
        <v>1</v>
      </c>
      <c r="D24" s="340">
        <v>1</v>
      </c>
      <c r="E24" s="340">
        <v>1</v>
      </c>
      <c r="F24" s="694"/>
      <c r="G24" s="343">
        <v>0.05</v>
      </c>
      <c r="H24" s="343">
        <v>0.05</v>
      </c>
      <c r="I24" s="695">
        <f t="shared" si="43"/>
        <v>0</v>
      </c>
      <c r="J24" s="695">
        <f t="shared" si="44"/>
        <v>0</v>
      </c>
      <c r="K24" s="695">
        <f t="shared" si="45"/>
        <v>0</v>
      </c>
      <c r="L24" s="696">
        <f t="shared" si="124"/>
        <v>0</v>
      </c>
      <c r="M24" s="146">
        <f t="shared" si="125"/>
        <v>0</v>
      </c>
      <c r="N24" s="146">
        <f t="shared" ref="N24:N31" si="196">M24</f>
        <v>0</v>
      </c>
      <c r="O24" s="146">
        <f t="shared" ref="O24:O31" si="197">N24</f>
        <v>0</v>
      </c>
      <c r="P24" s="146">
        <f t="shared" ref="P24:P31" si="198">O24</f>
        <v>0</v>
      </c>
      <c r="Q24" s="146">
        <f t="shared" ref="Q24:Q31" si="199">P24</f>
        <v>0</v>
      </c>
      <c r="R24" s="146">
        <f t="shared" ref="R24:R31" si="200">Q24</f>
        <v>0</v>
      </c>
      <c r="S24" s="146">
        <f t="shared" ref="S24:S31" si="201">R24</f>
        <v>0</v>
      </c>
      <c r="T24" s="146">
        <f t="shared" ref="T24:T31" si="202">S24</f>
        <v>0</v>
      </c>
      <c r="U24" s="146">
        <f t="shared" ref="U24:U31" si="203">T24</f>
        <v>0</v>
      </c>
      <c r="V24" s="146">
        <f t="shared" ref="V24:V31" si="204">U24</f>
        <v>0</v>
      </c>
      <c r="W24" s="146">
        <f t="shared" ref="W24:W31" si="205">V24</f>
        <v>0</v>
      </c>
      <c r="X24" s="146">
        <f t="shared" ref="X24:X31" si="206">F24*(1+G24)*D24</f>
        <v>0</v>
      </c>
      <c r="Y24" s="146">
        <f t="shared" ref="Y24:Y31" si="207">X24</f>
        <v>0</v>
      </c>
      <c r="Z24" s="146">
        <f t="shared" ref="Z24:Z31" si="208">Y24</f>
        <v>0</v>
      </c>
      <c r="AA24" s="146">
        <f t="shared" ref="AA24:AA31" si="209">Z24</f>
        <v>0</v>
      </c>
      <c r="AB24" s="146">
        <f t="shared" ref="AB24:AB31" si="210">AA24</f>
        <v>0</v>
      </c>
      <c r="AC24" s="146">
        <f t="shared" ref="AC24:AC31" si="211">AB24</f>
        <v>0</v>
      </c>
      <c r="AD24" s="146">
        <f t="shared" ref="AD24:AD31" si="212">AC24</f>
        <v>0</v>
      </c>
      <c r="AE24" s="146">
        <f t="shared" ref="AE24:AE31" si="213">AD24</f>
        <v>0</v>
      </c>
      <c r="AF24" s="146">
        <f t="shared" ref="AF24:AF31" si="214">AE24</f>
        <v>0</v>
      </c>
      <c r="AG24" s="146">
        <f t="shared" ref="AG24:AG31" si="215">AF24</f>
        <v>0</v>
      </c>
      <c r="AH24" s="146">
        <f t="shared" ref="AH24:AH31" si="216">AG24</f>
        <v>0</v>
      </c>
      <c r="AI24" s="146">
        <f t="shared" ref="AI24:AI31" si="217">AH24</f>
        <v>0</v>
      </c>
      <c r="AJ24" s="146">
        <f t="shared" ref="AJ24:AJ31" si="218">F24*(1+G24)*(1+H24)*E24</f>
        <v>0</v>
      </c>
      <c r="AK24" s="146">
        <f t="shared" ref="AK24:AK31" si="219">AJ24</f>
        <v>0</v>
      </c>
      <c r="AL24" s="146">
        <f t="shared" ref="AL24:AL31" si="220">AK24</f>
        <v>0</v>
      </c>
      <c r="AM24" s="146">
        <f t="shared" ref="AM24:AM31" si="221">AL24</f>
        <v>0</v>
      </c>
      <c r="AN24" s="146">
        <f t="shared" ref="AN24:AN31" si="222">AM24</f>
        <v>0</v>
      </c>
      <c r="AO24" s="146">
        <f t="shared" ref="AO24:AO31" si="223">AN24</f>
        <v>0</v>
      </c>
      <c r="AP24" s="146">
        <f t="shared" ref="AP24:AP31" si="224">AO24</f>
        <v>0</v>
      </c>
      <c r="AQ24" s="146">
        <f t="shared" ref="AQ24:AQ31" si="225">AP24</f>
        <v>0</v>
      </c>
      <c r="AR24" s="146">
        <f t="shared" ref="AR24:AR31" si="226">AQ24</f>
        <v>0</v>
      </c>
      <c r="AS24" s="146">
        <f t="shared" ref="AS24:AS31" si="227">AR24</f>
        <v>0</v>
      </c>
      <c r="AT24" s="146">
        <f t="shared" ref="AT24:AT31" si="228">AS24</f>
        <v>0</v>
      </c>
      <c r="AU24" s="146">
        <f t="shared" ref="AU24:AU31" si="229">AT24</f>
        <v>0</v>
      </c>
    </row>
    <row r="25" spans="1:47" s="254" customFormat="1" ht="27" customHeight="1">
      <c r="A25" s="254" t="s">
        <v>379</v>
      </c>
      <c r="B25" s="147" t="s">
        <v>375</v>
      </c>
      <c r="C25" s="340">
        <v>1</v>
      </c>
      <c r="D25" s="340">
        <v>2</v>
      </c>
      <c r="E25" s="340">
        <v>2</v>
      </c>
      <c r="F25" s="694"/>
      <c r="G25" s="343">
        <v>0.05</v>
      </c>
      <c r="H25" s="343">
        <v>0.05</v>
      </c>
      <c r="I25" s="695">
        <f t="shared" si="43"/>
        <v>0</v>
      </c>
      <c r="J25" s="695">
        <f t="shared" si="44"/>
        <v>0</v>
      </c>
      <c r="K25" s="695">
        <f t="shared" si="45"/>
        <v>0</v>
      </c>
      <c r="L25" s="696">
        <f t="shared" si="124"/>
        <v>0</v>
      </c>
      <c r="M25" s="146">
        <f t="shared" si="125"/>
        <v>0</v>
      </c>
      <c r="N25" s="146">
        <f t="shared" si="196"/>
        <v>0</v>
      </c>
      <c r="O25" s="146">
        <f t="shared" si="197"/>
        <v>0</v>
      </c>
      <c r="P25" s="146">
        <f t="shared" si="198"/>
        <v>0</v>
      </c>
      <c r="Q25" s="146">
        <f t="shared" si="199"/>
        <v>0</v>
      </c>
      <c r="R25" s="146">
        <f t="shared" si="200"/>
        <v>0</v>
      </c>
      <c r="S25" s="146">
        <f t="shared" si="201"/>
        <v>0</v>
      </c>
      <c r="T25" s="146">
        <f t="shared" si="202"/>
        <v>0</v>
      </c>
      <c r="U25" s="146">
        <f t="shared" si="203"/>
        <v>0</v>
      </c>
      <c r="V25" s="146">
        <f t="shared" si="204"/>
        <v>0</v>
      </c>
      <c r="W25" s="146">
        <f t="shared" si="205"/>
        <v>0</v>
      </c>
      <c r="X25" s="146">
        <f t="shared" si="206"/>
        <v>0</v>
      </c>
      <c r="Y25" s="146">
        <f t="shared" si="207"/>
        <v>0</v>
      </c>
      <c r="Z25" s="146">
        <f t="shared" si="208"/>
        <v>0</v>
      </c>
      <c r="AA25" s="146">
        <f t="shared" si="209"/>
        <v>0</v>
      </c>
      <c r="AB25" s="146">
        <f t="shared" si="210"/>
        <v>0</v>
      </c>
      <c r="AC25" s="146">
        <f t="shared" si="211"/>
        <v>0</v>
      </c>
      <c r="AD25" s="146">
        <f t="shared" si="212"/>
        <v>0</v>
      </c>
      <c r="AE25" s="146">
        <f t="shared" si="213"/>
        <v>0</v>
      </c>
      <c r="AF25" s="146">
        <f t="shared" si="214"/>
        <v>0</v>
      </c>
      <c r="AG25" s="146">
        <f t="shared" si="215"/>
        <v>0</v>
      </c>
      <c r="AH25" s="146">
        <f t="shared" si="216"/>
        <v>0</v>
      </c>
      <c r="AI25" s="146">
        <f t="shared" si="217"/>
        <v>0</v>
      </c>
      <c r="AJ25" s="146">
        <f t="shared" si="218"/>
        <v>0</v>
      </c>
      <c r="AK25" s="146">
        <f t="shared" si="219"/>
        <v>0</v>
      </c>
      <c r="AL25" s="146">
        <f t="shared" si="220"/>
        <v>0</v>
      </c>
      <c r="AM25" s="146">
        <f t="shared" si="221"/>
        <v>0</v>
      </c>
      <c r="AN25" s="146">
        <f t="shared" si="222"/>
        <v>0</v>
      </c>
      <c r="AO25" s="146">
        <f t="shared" si="223"/>
        <v>0</v>
      </c>
      <c r="AP25" s="146">
        <f t="shared" si="224"/>
        <v>0</v>
      </c>
      <c r="AQ25" s="146">
        <f t="shared" si="225"/>
        <v>0</v>
      </c>
      <c r="AR25" s="146">
        <f t="shared" si="226"/>
        <v>0</v>
      </c>
      <c r="AS25" s="146">
        <f t="shared" si="227"/>
        <v>0</v>
      </c>
      <c r="AT25" s="146">
        <f t="shared" si="228"/>
        <v>0</v>
      </c>
      <c r="AU25" s="146">
        <f t="shared" si="229"/>
        <v>0</v>
      </c>
    </row>
    <row r="26" spans="1:47" s="254" customFormat="1" ht="27" customHeight="1">
      <c r="A26" s="254" t="s">
        <v>381</v>
      </c>
      <c r="B26" s="147" t="s">
        <v>375</v>
      </c>
      <c r="C26" s="340">
        <v>1</v>
      </c>
      <c r="D26" s="340">
        <v>2</v>
      </c>
      <c r="E26" s="340">
        <v>2</v>
      </c>
      <c r="F26" s="694"/>
      <c r="G26" s="343">
        <v>0.05</v>
      </c>
      <c r="H26" s="343">
        <v>0.05</v>
      </c>
      <c r="I26" s="695">
        <f t="shared" si="43"/>
        <v>0</v>
      </c>
      <c r="J26" s="695">
        <f t="shared" si="44"/>
        <v>0</v>
      </c>
      <c r="K26" s="695">
        <f t="shared" si="45"/>
        <v>0</v>
      </c>
      <c r="L26" s="696">
        <f t="shared" ref="L26" si="230">F26*C26</f>
        <v>0</v>
      </c>
      <c r="M26" s="146">
        <f t="shared" ref="M26" si="231">L26</f>
        <v>0</v>
      </c>
      <c r="N26" s="146">
        <f t="shared" ref="N26" si="232">M26</f>
        <v>0</v>
      </c>
      <c r="O26" s="146">
        <f t="shared" ref="O26" si="233">N26</f>
        <v>0</v>
      </c>
      <c r="P26" s="146">
        <f t="shared" ref="P26" si="234">O26</f>
        <v>0</v>
      </c>
      <c r="Q26" s="146">
        <f t="shared" ref="Q26" si="235">P26</f>
        <v>0</v>
      </c>
      <c r="R26" s="146">
        <f t="shared" ref="R26" si="236">Q26</f>
        <v>0</v>
      </c>
      <c r="S26" s="146">
        <f t="shared" ref="S26" si="237">R26</f>
        <v>0</v>
      </c>
      <c r="T26" s="146">
        <f t="shared" ref="T26" si="238">S26</f>
        <v>0</v>
      </c>
      <c r="U26" s="146">
        <f t="shared" ref="U26" si="239">T26</f>
        <v>0</v>
      </c>
      <c r="V26" s="146">
        <f t="shared" ref="V26" si="240">U26</f>
        <v>0</v>
      </c>
      <c r="W26" s="146">
        <f t="shared" ref="W26" si="241">V26</f>
        <v>0</v>
      </c>
      <c r="X26" s="146">
        <f t="shared" ref="X26" si="242">F26*(1+G26)*D26</f>
        <v>0</v>
      </c>
      <c r="Y26" s="146">
        <f t="shared" ref="Y26" si="243">X26</f>
        <v>0</v>
      </c>
      <c r="Z26" s="146">
        <f t="shared" ref="Z26" si="244">Y26</f>
        <v>0</v>
      </c>
      <c r="AA26" s="146">
        <f t="shared" ref="AA26" si="245">Z26</f>
        <v>0</v>
      </c>
      <c r="AB26" s="146">
        <f t="shared" ref="AB26" si="246">AA26</f>
        <v>0</v>
      </c>
      <c r="AC26" s="146">
        <f t="shared" ref="AC26" si="247">AB26</f>
        <v>0</v>
      </c>
      <c r="AD26" s="146">
        <f t="shared" ref="AD26" si="248">AC26</f>
        <v>0</v>
      </c>
      <c r="AE26" s="146">
        <f t="shared" ref="AE26" si="249">AD26</f>
        <v>0</v>
      </c>
      <c r="AF26" s="146">
        <f t="shared" ref="AF26" si="250">AE26</f>
        <v>0</v>
      </c>
      <c r="AG26" s="146">
        <f t="shared" ref="AG26" si="251">AF26</f>
        <v>0</v>
      </c>
      <c r="AH26" s="146">
        <f t="shared" ref="AH26" si="252">AG26</f>
        <v>0</v>
      </c>
      <c r="AI26" s="146">
        <f t="shared" ref="AI26" si="253">AH26</f>
        <v>0</v>
      </c>
      <c r="AJ26" s="146">
        <f t="shared" ref="AJ26" si="254">F26*(1+G26)*(1+H26)*E26</f>
        <v>0</v>
      </c>
      <c r="AK26" s="146">
        <f t="shared" ref="AK26" si="255">AJ26</f>
        <v>0</v>
      </c>
      <c r="AL26" s="146">
        <f t="shared" ref="AL26" si="256">AK26</f>
        <v>0</v>
      </c>
      <c r="AM26" s="146">
        <f t="shared" ref="AM26" si="257">AL26</f>
        <v>0</v>
      </c>
      <c r="AN26" s="146">
        <f t="shared" ref="AN26" si="258">AM26</f>
        <v>0</v>
      </c>
      <c r="AO26" s="146">
        <f t="shared" ref="AO26" si="259">AN26</f>
        <v>0</v>
      </c>
      <c r="AP26" s="146">
        <f t="shared" ref="AP26" si="260">AO26</f>
        <v>0</v>
      </c>
      <c r="AQ26" s="146">
        <f t="shared" ref="AQ26" si="261">AP26</f>
        <v>0</v>
      </c>
      <c r="AR26" s="146">
        <f t="shared" ref="AR26" si="262">AQ26</f>
        <v>0</v>
      </c>
      <c r="AS26" s="146">
        <f t="shared" ref="AS26" si="263">AR26</f>
        <v>0</v>
      </c>
      <c r="AT26" s="146">
        <f t="shared" ref="AT26" si="264">AS26</f>
        <v>0</v>
      </c>
      <c r="AU26" s="146">
        <f t="shared" ref="AU26" si="265">AT26</f>
        <v>0</v>
      </c>
    </row>
    <row r="27" spans="1:47" s="254" customFormat="1" ht="27" customHeight="1">
      <c r="A27" s="254" t="s">
        <v>384</v>
      </c>
      <c r="B27" s="147" t="s">
        <v>375</v>
      </c>
      <c r="C27" s="340">
        <v>1</v>
      </c>
      <c r="D27" s="340">
        <v>2</v>
      </c>
      <c r="E27" s="340">
        <v>2</v>
      </c>
      <c r="F27" s="694"/>
      <c r="G27" s="343">
        <v>0.05</v>
      </c>
      <c r="H27" s="343">
        <v>0.05</v>
      </c>
      <c r="I27" s="695">
        <f t="shared" si="43"/>
        <v>0</v>
      </c>
      <c r="J27" s="695">
        <f t="shared" si="44"/>
        <v>0</v>
      </c>
      <c r="K27" s="695">
        <f t="shared" si="45"/>
        <v>0</v>
      </c>
      <c r="L27" s="696">
        <f t="shared" si="124"/>
        <v>0</v>
      </c>
      <c r="M27" s="146">
        <f t="shared" si="125"/>
        <v>0</v>
      </c>
      <c r="N27" s="146">
        <f t="shared" si="196"/>
        <v>0</v>
      </c>
      <c r="O27" s="146">
        <f t="shared" si="197"/>
        <v>0</v>
      </c>
      <c r="P27" s="146">
        <f t="shared" si="198"/>
        <v>0</v>
      </c>
      <c r="Q27" s="146">
        <f t="shared" si="199"/>
        <v>0</v>
      </c>
      <c r="R27" s="146">
        <f t="shared" si="200"/>
        <v>0</v>
      </c>
      <c r="S27" s="146">
        <f t="shared" si="201"/>
        <v>0</v>
      </c>
      <c r="T27" s="146">
        <f t="shared" si="202"/>
        <v>0</v>
      </c>
      <c r="U27" s="146">
        <f t="shared" si="203"/>
        <v>0</v>
      </c>
      <c r="V27" s="146">
        <f t="shared" si="204"/>
        <v>0</v>
      </c>
      <c r="W27" s="146">
        <f t="shared" si="205"/>
        <v>0</v>
      </c>
      <c r="X27" s="146">
        <f t="shared" si="206"/>
        <v>0</v>
      </c>
      <c r="Y27" s="146">
        <f t="shared" si="207"/>
        <v>0</v>
      </c>
      <c r="Z27" s="146">
        <f t="shared" si="208"/>
        <v>0</v>
      </c>
      <c r="AA27" s="146">
        <f t="shared" si="209"/>
        <v>0</v>
      </c>
      <c r="AB27" s="146">
        <f t="shared" si="210"/>
        <v>0</v>
      </c>
      <c r="AC27" s="146">
        <f t="shared" si="211"/>
        <v>0</v>
      </c>
      <c r="AD27" s="146">
        <f t="shared" si="212"/>
        <v>0</v>
      </c>
      <c r="AE27" s="146">
        <f t="shared" si="213"/>
        <v>0</v>
      </c>
      <c r="AF27" s="146">
        <f t="shared" si="214"/>
        <v>0</v>
      </c>
      <c r="AG27" s="146">
        <f t="shared" si="215"/>
        <v>0</v>
      </c>
      <c r="AH27" s="146">
        <f t="shared" si="216"/>
        <v>0</v>
      </c>
      <c r="AI27" s="146">
        <f t="shared" si="217"/>
        <v>0</v>
      </c>
      <c r="AJ27" s="146">
        <f t="shared" si="218"/>
        <v>0</v>
      </c>
      <c r="AK27" s="146">
        <f t="shared" si="219"/>
        <v>0</v>
      </c>
      <c r="AL27" s="146">
        <f t="shared" si="220"/>
        <v>0</v>
      </c>
      <c r="AM27" s="146">
        <f t="shared" si="221"/>
        <v>0</v>
      </c>
      <c r="AN27" s="146">
        <f t="shared" si="222"/>
        <v>0</v>
      </c>
      <c r="AO27" s="146">
        <f t="shared" si="223"/>
        <v>0</v>
      </c>
      <c r="AP27" s="146">
        <f t="shared" si="224"/>
        <v>0</v>
      </c>
      <c r="AQ27" s="146">
        <f t="shared" si="225"/>
        <v>0</v>
      </c>
      <c r="AR27" s="146">
        <f t="shared" si="226"/>
        <v>0</v>
      </c>
      <c r="AS27" s="146">
        <f t="shared" si="227"/>
        <v>0</v>
      </c>
      <c r="AT27" s="146">
        <f t="shared" si="228"/>
        <v>0</v>
      </c>
      <c r="AU27" s="146">
        <f t="shared" si="229"/>
        <v>0</v>
      </c>
    </row>
    <row r="28" spans="1:47" s="254" customFormat="1" ht="27" customHeight="1">
      <c r="A28" s="254" t="s">
        <v>388</v>
      </c>
      <c r="B28" s="147" t="s">
        <v>306</v>
      </c>
      <c r="C28" s="340">
        <v>1</v>
      </c>
      <c r="D28" s="340">
        <v>1</v>
      </c>
      <c r="E28" s="340">
        <v>1</v>
      </c>
      <c r="F28" s="694"/>
      <c r="G28" s="343">
        <v>0.05</v>
      </c>
      <c r="H28" s="343">
        <v>0.05</v>
      </c>
      <c r="I28" s="695">
        <f t="shared" si="43"/>
        <v>0</v>
      </c>
      <c r="J28" s="695">
        <f t="shared" si="44"/>
        <v>0</v>
      </c>
      <c r="K28" s="695">
        <f t="shared" si="45"/>
        <v>0</v>
      </c>
      <c r="L28" s="696">
        <f t="shared" si="124"/>
        <v>0</v>
      </c>
      <c r="M28" s="146">
        <f t="shared" si="125"/>
        <v>0</v>
      </c>
      <c r="N28" s="146">
        <f t="shared" si="196"/>
        <v>0</v>
      </c>
      <c r="O28" s="146">
        <f t="shared" si="197"/>
        <v>0</v>
      </c>
      <c r="P28" s="146">
        <f t="shared" si="198"/>
        <v>0</v>
      </c>
      <c r="Q28" s="146">
        <f t="shared" si="199"/>
        <v>0</v>
      </c>
      <c r="R28" s="146">
        <f t="shared" si="200"/>
        <v>0</v>
      </c>
      <c r="S28" s="146">
        <f t="shared" si="201"/>
        <v>0</v>
      </c>
      <c r="T28" s="146">
        <f t="shared" si="202"/>
        <v>0</v>
      </c>
      <c r="U28" s="146">
        <f t="shared" si="203"/>
        <v>0</v>
      </c>
      <c r="V28" s="146">
        <f t="shared" si="204"/>
        <v>0</v>
      </c>
      <c r="W28" s="146">
        <f t="shared" si="205"/>
        <v>0</v>
      </c>
      <c r="X28" s="146">
        <f t="shared" si="206"/>
        <v>0</v>
      </c>
      <c r="Y28" s="146">
        <f t="shared" si="207"/>
        <v>0</v>
      </c>
      <c r="Z28" s="146">
        <f t="shared" si="208"/>
        <v>0</v>
      </c>
      <c r="AA28" s="146">
        <f t="shared" si="209"/>
        <v>0</v>
      </c>
      <c r="AB28" s="146">
        <f t="shared" si="210"/>
        <v>0</v>
      </c>
      <c r="AC28" s="146">
        <f t="shared" si="211"/>
        <v>0</v>
      </c>
      <c r="AD28" s="146">
        <f t="shared" si="212"/>
        <v>0</v>
      </c>
      <c r="AE28" s="146">
        <f t="shared" si="213"/>
        <v>0</v>
      </c>
      <c r="AF28" s="146">
        <f t="shared" si="214"/>
        <v>0</v>
      </c>
      <c r="AG28" s="146">
        <f t="shared" si="215"/>
        <v>0</v>
      </c>
      <c r="AH28" s="146">
        <f t="shared" si="216"/>
        <v>0</v>
      </c>
      <c r="AI28" s="146">
        <f t="shared" si="217"/>
        <v>0</v>
      </c>
      <c r="AJ28" s="146">
        <f t="shared" si="218"/>
        <v>0</v>
      </c>
      <c r="AK28" s="146">
        <f t="shared" si="219"/>
        <v>0</v>
      </c>
      <c r="AL28" s="146">
        <f t="shared" si="220"/>
        <v>0</v>
      </c>
      <c r="AM28" s="146">
        <f t="shared" si="221"/>
        <v>0</v>
      </c>
      <c r="AN28" s="146">
        <f t="shared" si="222"/>
        <v>0</v>
      </c>
      <c r="AO28" s="146">
        <f t="shared" si="223"/>
        <v>0</v>
      </c>
      <c r="AP28" s="146">
        <f t="shared" si="224"/>
        <v>0</v>
      </c>
      <c r="AQ28" s="146">
        <f t="shared" si="225"/>
        <v>0</v>
      </c>
      <c r="AR28" s="146">
        <f t="shared" si="226"/>
        <v>0</v>
      </c>
      <c r="AS28" s="146">
        <f t="shared" si="227"/>
        <v>0</v>
      </c>
      <c r="AT28" s="146">
        <f t="shared" si="228"/>
        <v>0</v>
      </c>
      <c r="AU28" s="146">
        <f t="shared" si="229"/>
        <v>0</v>
      </c>
    </row>
    <row r="29" spans="1:47" s="254" customFormat="1" ht="27" customHeight="1">
      <c r="A29" s="254" t="s">
        <v>389</v>
      </c>
      <c r="B29" s="147" t="s">
        <v>307</v>
      </c>
      <c r="C29" s="340">
        <v>1</v>
      </c>
      <c r="D29" s="340">
        <v>1</v>
      </c>
      <c r="E29" s="340">
        <v>1</v>
      </c>
      <c r="F29" s="694"/>
      <c r="G29" s="343">
        <v>0.05</v>
      </c>
      <c r="H29" s="343">
        <v>0.05</v>
      </c>
      <c r="I29" s="695">
        <f t="shared" si="43"/>
        <v>0</v>
      </c>
      <c r="J29" s="695">
        <f t="shared" si="44"/>
        <v>0</v>
      </c>
      <c r="K29" s="695">
        <f t="shared" si="45"/>
        <v>0</v>
      </c>
      <c r="L29" s="696">
        <f t="shared" si="124"/>
        <v>0</v>
      </c>
      <c r="M29" s="146">
        <f t="shared" si="125"/>
        <v>0</v>
      </c>
      <c r="N29" s="146">
        <f t="shared" si="196"/>
        <v>0</v>
      </c>
      <c r="O29" s="146">
        <f t="shared" si="197"/>
        <v>0</v>
      </c>
      <c r="P29" s="146">
        <f t="shared" si="198"/>
        <v>0</v>
      </c>
      <c r="Q29" s="146">
        <f t="shared" si="199"/>
        <v>0</v>
      </c>
      <c r="R29" s="146">
        <f t="shared" si="200"/>
        <v>0</v>
      </c>
      <c r="S29" s="146">
        <f t="shared" si="201"/>
        <v>0</v>
      </c>
      <c r="T29" s="146">
        <f t="shared" si="202"/>
        <v>0</v>
      </c>
      <c r="U29" s="146">
        <f t="shared" si="203"/>
        <v>0</v>
      </c>
      <c r="V29" s="146">
        <f t="shared" si="204"/>
        <v>0</v>
      </c>
      <c r="W29" s="146">
        <f t="shared" si="205"/>
        <v>0</v>
      </c>
      <c r="X29" s="146">
        <f t="shared" si="206"/>
        <v>0</v>
      </c>
      <c r="Y29" s="146">
        <f t="shared" si="207"/>
        <v>0</v>
      </c>
      <c r="Z29" s="146">
        <f t="shared" si="208"/>
        <v>0</v>
      </c>
      <c r="AA29" s="146">
        <f t="shared" si="209"/>
        <v>0</v>
      </c>
      <c r="AB29" s="146">
        <f t="shared" si="210"/>
        <v>0</v>
      </c>
      <c r="AC29" s="146">
        <f t="shared" si="211"/>
        <v>0</v>
      </c>
      <c r="AD29" s="146">
        <f t="shared" si="212"/>
        <v>0</v>
      </c>
      <c r="AE29" s="146">
        <f t="shared" si="213"/>
        <v>0</v>
      </c>
      <c r="AF29" s="146">
        <f t="shared" si="214"/>
        <v>0</v>
      </c>
      <c r="AG29" s="146">
        <f t="shared" si="215"/>
        <v>0</v>
      </c>
      <c r="AH29" s="146">
        <f t="shared" si="216"/>
        <v>0</v>
      </c>
      <c r="AI29" s="146">
        <f t="shared" si="217"/>
        <v>0</v>
      </c>
      <c r="AJ29" s="146">
        <f t="shared" si="218"/>
        <v>0</v>
      </c>
      <c r="AK29" s="146">
        <f t="shared" si="219"/>
        <v>0</v>
      </c>
      <c r="AL29" s="146">
        <f t="shared" si="220"/>
        <v>0</v>
      </c>
      <c r="AM29" s="146">
        <f t="shared" si="221"/>
        <v>0</v>
      </c>
      <c r="AN29" s="146">
        <f t="shared" si="222"/>
        <v>0</v>
      </c>
      <c r="AO29" s="146">
        <f t="shared" si="223"/>
        <v>0</v>
      </c>
      <c r="AP29" s="146">
        <f t="shared" si="224"/>
        <v>0</v>
      </c>
      <c r="AQ29" s="146">
        <f t="shared" si="225"/>
        <v>0</v>
      </c>
      <c r="AR29" s="146">
        <f t="shared" si="226"/>
        <v>0</v>
      </c>
      <c r="AS29" s="146">
        <f t="shared" si="227"/>
        <v>0</v>
      </c>
      <c r="AT29" s="146">
        <f t="shared" si="228"/>
        <v>0</v>
      </c>
      <c r="AU29" s="146">
        <f t="shared" si="229"/>
        <v>0</v>
      </c>
    </row>
    <row r="30" spans="1:47" s="254" customFormat="1" ht="27" customHeight="1">
      <c r="A30" s="254" t="s">
        <v>379</v>
      </c>
      <c r="B30" s="147" t="s">
        <v>387</v>
      </c>
      <c r="C30" s="340">
        <v>2</v>
      </c>
      <c r="D30" s="340">
        <v>2</v>
      </c>
      <c r="E30" s="340">
        <v>2</v>
      </c>
      <c r="F30" s="694"/>
      <c r="G30" s="343">
        <v>0.05</v>
      </c>
      <c r="H30" s="343">
        <v>0.05</v>
      </c>
      <c r="I30" s="695">
        <f t="shared" si="43"/>
        <v>0</v>
      </c>
      <c r="J30" s="695">
        <f t="shared" si="44"/>
        <v>0</v>
      </c>
      <c r="K30" s="695">
        <f t="shared" si="45"/>
        <v>0</v>
      </c>
      <c r="L30" s="696">
        <f t="shared" si="124"/>
        <v>0</v>
      </c>
      <c r="M30" s="146">
        <f t="shared" si="125"/>
        <v>0</v>
      </c>
      <c r="N30" s="146">
        <f t="shared" si="196"/>
        <v>0</v>
      </c>
      <c r="O30" s="146">
        <f t="shared" si="197"/>
        <v>0</v>
      </c>
      <c r="P30" s="146">
        <f t="shared" si="198"/>
        <v>0</v>
      </c>
      <c r="Q30" s="146">
        <f t="shared" si="199"/>
        <v>0</v>
      </c>
      <c r="R30" s="146">
        <f t="shared" si="200"/>
        <v>0</v>
      </c>
      <c r="S30" s="146">
        <f t="shared" si="201"/>
        <v>0</v>
      </c>
      <c r="T30" s="146">
        <f t="shared" si="202"/>
        <v>0</v>
      </c>
      <c r="U30" s="146">
        <f t="shared" si="203"/>
        <v>0</v>
      </c>
      <c r="V30" s="146">
        <f t="shared" si="204"/>
        <v>0</v>
      </c>
      <c r="W30" s="146">
        <f t="shared" si="205"/>
        <v>0</v>
      </c>
      <c r="X30" s="146">
        <f t="shared" si="206"/>
        <v>0</v>
      </c>
      <c r="Y30" s="146">
        <f t="shared" si="207"/>
        <v>0</v>
      </c>
      <c r="Z30" s="146">
        <f t="shared" si="208"/>
        <v>0</v>
      </c>
      <c r="AA30" s="146">
        <f t="shared" si="209"/>
        <v>0</v>
      </c>
      <c r="AB30" s="146">
        <f t="shared" si="210"/>
        <v>0</v>
      </c>
      <c r="AC30" s="146">
        <f t="shared" si="211"/>
        <v>0</v>
      </c>
      <c r="AD30" s="146">
        <f t="shared" si="212"/>
        <v>0</v>
      </c>
      <c r="AE30" s="146">
        <f t="shared" si="213"/>
        <v>0</v>
      </c>
      <c r="AF30" s="146">
        <f t="shared" si="214"/>
        <v>0</v>
      </c>
      <c r="AG30" s="146">
        <f t="shared" si="215"/>
        <v>0</v>
      </c>
      <c r="AH30" s="146">
        <f t="shared" si="216"/>
        <v>0</v>
      </c>
      <c r="AI30" s="146">
        <f t="shared" si="217"/>
        <v>0</v>
      </c>
      <c r="AJ30" s="146">
        <f t="shared" si="218"/>
        <v>0</v>
      </c>
      <c r="AK30" s="146">
        <f t="shared" si="219"/>
        <v>0</v>
      </c>
      <c r="AL30" s="146">
        <f t="shared" si="220"/>
        <v>0</v>
      </c>
      <c r="AM30" s="146">
        <f t="shared" si="221"/>
        <v>0</v>
      </c>
      <c r="AN30" s="146">
        <f t="shared" si="222"/>
        <v>0</v>
      </c>
      <c r="AO30" s="146">
        <f t="shared" si="223"/>
        <v>0</v>
      </c>
      <c r="AP30" s="146">
        <f t="shared" si="224"/>
        <v>0</v>
      </c>
      <c r="AQ30" s="146">
        <f t="shared" si="225"/>
        <v>0</v>
      </c>
      <c r="AR30" s="146">
        <f t="shared" si="226"/>
        <v>0</v>
      </c>
      <c r="AS30" s="146">
        <f t="shared" si="227"/>
        <v>0</v>
      </c>
      <c r="AT30" s="146">
        <f t="shared" si="228"/>
        <v>0</v>
      </c>
      <c r="AU30" s="146">
        <f t="shared" si="229"/>
        <v>0</v>
      </c>
    </row>
    <row r="31" spans="1:47" s="145" customFormat="1" ht="27" customHeight="1">
      <c r="A31" s="254" t="s">
        <v>390</v>
      </c>
      <c r="B31" s="147" t="s">
        <v>391</v>
      </c>
      <c r="C31" s="340">
        <v>8</v>
      </c>
      <c r="D31" s="340">
        <v>8</v>
      </c>
      <c r="E31" s="340">
        <v>8</v>
      </c>
      <c r="F31" s="694"/>
      <c r="G31" s="343">
        <v>0.05</v>
      </c>
      <c r="H31" s="343">
        <v>0.05</v>
      </c>
      <c r="I31" s="695">
        <f t="shared" si="43"/>
        <v>0</v>
      </c>
      <c r="J31" s="695">
        <f t="shared" si="44"/>
        <v>0</v>
      </c>
      <c r="K31" s="695">
        <f t="shared" si="45"/>
        <v>0</v>
      </c>
      <c r="L31" s="696">
        <f t="shared" si="124"/>
        <v>0</v>
      </c>
      <c r="M31" s="146">
        <f t="shared" si="125"/>
        <v>0</v>
      </c>
      <c r="N31" s="146">
        <f t="shared" si="196"/>
        <v>0</v>
      </c>
      <c r="O31" s="146">
        <f t="shared" si="197"/>
        <v>0</v>
      </c>
      <c r="P31" s="146">
        <f t="shared" si="198"/>
        <v>0</v>
      </c>
      <c r="Q31" s="146">
        <f t="shared" si="199"/>
        <v>0</v>
      </c>
      <c r="R31" s="146">
        <f t="shared" si="200"/>
        <v>0</v>
      </c>
      <c r="S31" s="146">
        <f t="shared" si="201"/>
        <v>0</v>
      </c>
      <c r="T31" s="146">
        <f t="shared" si="202"/>
        <v>0</v>
      </c>
      <c r="U31" s="146">
        <f t="shared" si="203"/>
        <v>0</v>
      </c>
      <c r="V31" s="146">
        <f t="shared" si="204"/>
        <v>0</v>
      </c>
      <c r="W31" s="146">
        <f t="shared" si="205"/>
        <v>0</v>
      </c>
      <c r="X31" s="146">
        <f t="shared" si="206"/>
        <v>0</v>
      </c>
      <c r="Y31" s="146">
        <f t="shared" si="207"/>
        <v>0</v>
      </c>
      <c r="Z31" s="146">
        <f t="shared" si="208"/>
        <v>0</v>
      </c>
      <c r="AA31" s="146">
        <f t="shared" si="209"/>
        <v>0</v>
      </c>
      <c r="AB31" s="146">
        <f t="shared" si="210"/>
        <v>0</v>
      </c>
      <c r="AC31" s="146">
        <f t="shared" si="211"/>
        <v>0</v>
      </c>
      <c r="AD31" s="146">
        <f t="shared" si="212"/>
        <v>0</v>
      </c>
      <c r="AE31" s="146">
        <f t="shared" si="213"/>
        <v>0</v>
      </c>
      <c r="AF31" s="146">
        <f t="shared" si="214"/>
        <v>0</v>
      </c>
      <c r="AG31" s="146">
        <f t="shared" si="215"/>
        <v>0</v>
      </c>
      <c r="AH31" s="146">
        <f t="shared" si="216"/>
        <v>0</v>
      </c>
      <c r="AI31" s="146">
        <f t="shared" si="217"/>
        <v>0</v>
      </c>
      <c r="AJ31" s="146">
        <f t="shared" si="218"/>
        <v>0</v>
      </c>
      <c r="AK31" s="146">
        <f t="shared" si="219"/>
        <v>0</v>
      </c>
      <c r="AL31" s="146">
        <f t="shared" si="220"/>
        <v>0</v>
      </c>
      <c r="AM31" s="146">
        <f t="shared" si="221"/>
        <v>0</v>
      </c>
      <c r="AN31" s="146">
        <f t="shared" si="222"/>
        <v>0</v>
      </c>
      <c r="AO31" s="146">
        <f t="shared" si="223"/>
        <v>0</v>
      </c>
      <c r="AP31" s="146">
        <f t="shared" si="224"/>
        <v>0</v>
      </c>
      <c r="AQ31" s="146">
        <f t="shared" si="225"/>
        <v>0</v>
      </c>
      <c r="AR31" s="146">
        <f t="shared" si="226"/>
        <v>0</v>
      </c>
      <c r="AS31" s="146">
        <f t="shared" si="227"/>
        <v>0</v>
      </c>
      <c r="AT31" s="146">
        <f t="shared" si="228"/>
        <v>0</v>
      </c>
      <c r="AU31" s="146">
        <f t="shared" si="229"/>
        <v>0</v>
      </c>
    </row>
    <row r="32" spans="1:47" s="254" customFormat="1" ht="27" customHeight="1">
      <c r="A32" s="254" t="s">
        <v>390</v>
      </c>
      <c r="B32" s="147" t="s">
        <v>392</v>
      </c>
      <c r="C32" s="340">
        <v>2</v>
      </c>
      <c r="D32" s="340">
        <v>2</v>
      </c>
      <c r="E32" s="340">
        <v>2</v>
      </c>
      <c r="F32" s="694"/>
      <c r="G32" s="343">
        <v>0.05</v>
      </c>
      <c r="H32" s="343">
        <v>0.05</v>
      </c>
      <c r="I32" s="695">
        <f t="shared" si="43"/>
        <v>0</v>
      </c>
      <c r="J32" s="695">
        <f t="shared" si="44"/>
        <v>0</v>
      </c>
      <c r="K32" s="695">
        <f t="shared" si="45"/>
        <v>0</v>
      </c>
      <c r="L32" s="696">
        <f t="shared" ref="L32:L39" si="266">F32*C32</f>
        <v>0</v>
      </c>
      <c r="M32" s="146">
        <f t="shared" ref="M32:M39" si="267">L32</f>
        <v>0</v>
      </c>
      <c r="N32" s="146">
        <f t="shared" ref="N32:N39" si="268">M32</f>
        <v>0</v>
      </c>
      <c r="O32" s="146">
        <f t="shared" ref="O32:O39" si="269">N32</f>
        <v>0</v>
      </c>
      <c r="P32" s="146">
        <f t="shared" ref="P32:P39" si="270">O32</f>
        <v>0</v>
      </c>
      <c r="Q32" s="146">
        <f t="shared" ref="Q32:Q39" si="271">P32</f>
        <v>0</v>
      </c>
      <c r="R32" s="146">
        <f t="shared" ref="R32:R39" si="272">Q32</f>
        <v>0</v>
      </c>
      <c r="S32" s="146">
        <f t="shared" ref="S32:S39" si="273">R32</f>
        <v>0</v>
      </c>
      <c r="T32" s="146">
        <f t="shared" ref="T32:T39" si="274">S32</f>
        <v>0</v>
      </c>
      <c r="U32" s="146">
        <f t="shared" ref="U32:U39" si="275">T32</f>
        <v>0</v>
      </c>
      <c r="V32" s="146">
        <f t="shared" ref="V32:V39" si="276">U32</f>
        <v>0</v>
      </c>
      <c r="W32" s="146">
        <f t="shared" ref="W32:W39" si="277">V32</f>
        <v>0</v>
      </c>
      <c r="X32" s="146">
        <f t="shared" ref="X32:X39" si="278">F32*(1+G32)*D32</f>
        <v>0</v>
      </c>
      <c r="Y32" s="146">
        <f t="shared" ref="Y32:Y39" si="279">X32</f>
        <v>0</v>
      </c>
      <c r="Z32" s="146">
        <f t="shared" ref="Z32:Z39" si="280">Y32</f>
        <v>0</v>
      </c>
      <c r="AA32" s="146">
        <f t="shared" ref="AA32:AA39" si="281">Z32</f>
        <v>0</v>
      </c>
      <c r="AB32" s="146">
        <f t="shared" ref="AB32:AB39" si="282">AA32</f>
        <v>0</v>
      </c>
      <c r="AC32" s="146">
        <f t="shared" ref="AC32:AC39" si="283">AB32</f>
        <v>0</v>
      </c>
      <c r="AD32" s="146">
        <f t="shared" ref="AD32:AD39" si="284">AC32</f>
        <v>0</v>
      </c>
      <c r="AE32" s="146">
        <f t="shared" ref="AE32:AE39" si="285">AD32</f>
        <v>0</v>
      </c>
      <c r="AF32" s="146">
        <f t="shared" ref="AF32:AF39" si="286">AE32</f>
        <v>0</v>
      </c>
      <c r="AG32" s="146">
        <f t="shared" ref="AG32:AG39" si="287">AF32</f>
        <v>0</v>
      </c>
      <c r="AH32" s="146">
        <f t="shared" ref="AH32:AH39" si="288">AG32</f>
        <v>0</v>
      </c>
      <c r="AI32" s="146">
        <f t="shared" ref="AI32:AI39" si="289">AH32</f>
        <v>0</v>
      </c>
      <c r="AJ32" s="146">
        <f t="shared" ref="AJ32:AJ39" si="290">F32*(1+G32)*(1+H32)*E32</f>
        <v>0</v>
      </c>
      <c r="AK32" s="146">
        <f t="shared" ref="AK32:AK39" si="291">AJ32</f>
        <v>0</v>
      </c>
      <c r="AL32" s="146">
        <f t="shared" ref="AL32:AL39" si="292">AK32</f>
        <v>0</v>
      </c>
      <c r="AM32" s="146">
        <f t="shared" ref="AM32:AM39" si="293">AL32</f>
        <v>0</v>
      </c>
      <c r="AN32" s="146">
        <f t="shared" ref="AN32:AN39" si="294">AM32</f>
        <v>0</v>
      </c>
      <c r="AO32" s="146">
        <f t="shared" ref="AO32:AO39" si="295">AN32</f>
        <v>0</v>
      </c>
      <c r="AP32" s="146">
        <f t="shared" ref="AP32:AP39" si="296">AO32</f>
        <v>0</v>
      </c>
      <c r="AQ32" s="146">
        <f t="shared" ref="AQ32:AQ39" si="297">AP32</f>
        <v>0</v>
      </c>
      <c r="AR32" s="146">
        <f t="shared" ref="AR32:AR39" si="298">AQ32</f>
        <v>0</v>
      </c>
      <c r="AS32" s="146">
        <f t="shared" ref="AS32:AS39" si="299">AR32</f>
        <v>0</v>
      </c>
      <c r="AT32" s="146">
        <f t="shared" ref="AT32:AT39" si="300">AS32</f>
        <v>0</v>
      </c>
      <c r="AU32" s="146">
        <f t="shared" ref="AU32:AU39" si="301">AT32</f>
        <v>0</v>
      </c>
    </row>
    <row r="33" spans="1:48" s="254" customFormat="1" ht="27" customHeight="1">
      <c r="A33" s="254" t="s">
        <v>311</v>
      </c>
      <c r="B33" s="147" t="s">
        <v>395</v>
      </c>
      <c r="C33" s="340">
        <v>1</v>
      </c>
      <c r="D33" s="340">
        <v>1</v>
      </c>
      <c r="E33" s="340">
        <v>1</v>
      </c>
      <c r="F33" s="694"/>
      <c r="G33" s="343">
        <v>0.05</v>
      </c>
      <c r="H33" s="343">
        <v>0.05</v>
      </c>
      <c r="I33" s="695">
        <f t="shared" si="43"/>
        <v>0</v>
      </c>
      <c r="J33" s="695">
        <f t="shared" si="44"/>
        <v>0</v>
      </c>
      <c r="K33" s="695">
        <f t="shared" si="45"/>
        <v>0</v>
      </c>
      <c r="L33" s="696">
        <f t="shared" si="266"/>
        <v>0</v>
      </c>
      <c r="M33" s="146">
        <f t="shared" si="267"/>
        <v>0</v>
      </c>
      <c r="N33" s="146">
        <f t="shared" si="268"/>
        <v>0</v>
      </c>
      <c r="O33" s="146">
        <f t="shared" si="269"/>
        <v>0</v>
      </c>
      <c r="P33" s="146">
        <f t="shared" si="270"/>
        <v>0</v>
      </c>
      <c r="Q33" s="146">
        <f t="shared" si="271"/>
        <v>0</v>
      </c>
      <c r="R33" s="146">
        <f t="shared" si="272"/>
        <v>0</v>
      </c>
      <c r="S33" s="146">
        <f t="shared" si="273"/>
        <v>0</v>
      </c>
      <c r="T33" s="146">
        <f t="shared" si="274"/>
        <v>0</v>
      </c>
      <c r="U33" s="146">
        <f t="shared" si="275"/>
        <v>0</v>
      </c>
      <c r="V33" s="146">
        <f t="shared" si="276"/>
        <v>0</v>
      </c>
      <c r="W33" s="146">
        <f t="shared" si="277"/>
        <v>0</v>
      </c>
      <c r="X33" s="146">
        <f t="shared" si="278"/>
        <v>0</v>
      </c>
      <c r="Y33" s="146">
        <f t="shared" si="279"/>
        <v>0</v>
      </c>
      <c r="Z33" s="146">
        <f t="shared" si="280"/>
        <v>0</v>
      </c>
      <c r="AA33" s="146">
        <f t="shared" si="281"/>
        <v>0</v>
      </c>
      <c r="AB33" s="146">
        <f t="shared" si="282"/>
        <v>0</v>
      </c>
      <c r="AC33" s="146">
        <f t="shared" si="283"/>
        <v>0</v>
      </c>
      <c r="AD33" s="146">
        <f t="shared" si="284"/>
        <v>0</v>
      </c>
      <c r="AE33" s="146">
        <f t="shared" si="285"/>
        <v>0</v>
      </c>
      <c r="AF33" s="146">
        <f t="shared" si="286"/>
        <v>0</v>
      </c>
      <c r="AG33" s="146">
        <f t="shared" si="287"/>
        <v>0</v>
      </c>
      <c r="AH33" s="146">
        <f t="shared" si="288"/>
        <v>0</v>
      </c>
      <c r="AI33" s="146">
        <f t="shared" si="289"/>
        <v>0</v>
      </c>
      <c r="AJ33" s="146">
        <f t="shared" si="290"/>
        <v>0</v>
      </c>
      <c r="AK33" s="146">
        <f t="shared" si="291"/>
        <v>0</v>
      </c>
      <c r="AL33" s="146">
        <f t="shared" si="292"/>
        <v>0</v>
      </c>
      <c r="AM33" s="146">
        <f t="shared" si="293"/>
        <v>0</v>
      </c>
      <c r="AN33" s="146">
        <f t="shared" si="294"/>
        <v>0</v>
      </c>
      <c r="AO33" s="146">
        <f t="shared" si="295"/>
        <v>0</v>
      </c>
      <c r="AP33" s="146">
        <f t="shared" si="296"/>
        <v>0</v>
      </c>
      <c r="AQ33" s="146">
        <f t="shared" si="297"/>
        <v>0</v>
      </c>
      <c r="AR33" s="146">
        <f t="shared" si="298"/>
        <v>0</v>
      </c>
      <c r="AS33" s="146">
        <f t="shared" si="299"/>
        <v>0</v>
      </c>
      <c r="AT33" s="146">
        <f t="shared" si="300"/>
        <v>0</v>
      </c>
      <c r="AU33" s="146">
        <f t="shared" si="301"/>
        <v>0</v>
      </c>
    </row>
    <row r="34" spans="1:48" s="254" customFormat="1" ht="27" customHeight="1">
      <c r="A34" s="254" t="s">
        <v>311</v>
      </c>
      <c r="B34" s="147" t="s">
        <v>396</v>
      </c>
      <c r="C34" s="340">
        <v>1</v>
      </c>
      <c r="D34" s="340">
        <v>1</v>
      </c>
      <c r="E34" s="340">
        <v>1</v>
      </c>
      <c r="F34" s="694"/>
      <c r="G34" s="343">
        <v>0.05</v>
      </c>
      <c r="H34" s="343">
        <v>0.05</v>
      </c>
      <c r="I34" s="695">
        <f t="shared" si="43"/>
        <v>0</v>
      </c>
      <c r="J34" s="695">
        <f t="shared" si="44"/>
        <v>0</v>
      </c>
      <c r="K34" s="695">
        <f t="shared" si="45"/>
        <v>0</v>
      </c>
      <c r="L34" s="696">
        <f t="shared" si="266"/>
        <v>0</v>
      </c>
      <c r="M34" s="146">
        <f t="shared" si="267"/>
        <v>0</v>
      </c>
      <c r="N34" s="146">
        <f t="shared" si="268"/>
        <v>0</v>
      </c>
      <c r="O34" s="146">
        <f t="shared" si="269"/>
        <v>0</v>
      </c>
      <c r="P34" s="146">
        <f t="shared" si="270"/>
        <v>0</v>
      </c>
      <c r="Q34" s="146">
        <f t="shared" si="271"/>
        <v>0</v>
      </c>
      <c r="R34" s="146">
        <f t="shared" si="272"/>
        <v>0</v>
      </c>
      <c r="S34" s="146">
        <f t="shared" si="273"/>
        <v>0</v>
      </c>
      <c r="T34" s="146">
        <f t="shared" si="274"/>
        <v>0</v>
      </c>
      <c r="U34" s="146">
        <f t="shared" si="275"/>
        <v>0</v>
      </c>
      <c r="V34" s="146">
        <f t="shared" si="276"/>
        <v>0</v>
      </c>
      <c r="W34" s="146">
        <f t="shared" si="277"/>
        <v>0</v>
      </c>
      <c r="X34" s="146">
        <f t="shared" si="278"/>
        <v>0</v>
      </c>
      <c r="Y34" s="146">
        <f t="shared" si="279"/>
        <v>0</v>
      </c>
      <c r="Z34" s="146">
        <f t="shared" si="280"/>
        <v>0</v>
      </c>
      <c r="AA34" s="146">
        <f t="shared" si="281"/>
        <v>0</v>
      </c>
      <c r="AB34" s="146">
        <f t="shared" si="282"/>
        <v>0</v>
      </c>
      <c r="AC34" s="146">
        <f t="shared" si="283"/>
        <v>0</v>
      </c>
      <c r="AD34" s="146">
        <f t="shared" si="284"/>
        <v>0</v>
      </c>
      <c r="AE34" s="146">
        <f t="shared" si="285"/>
        <v>0</v>
      </c>
      <c r="AF34" s="146">
        <f t="shared" si="286"/>
        <v>0</v>
      </c>
      <c r="AG34" s="146">
        <f t="shared" si="287"/>
        <v>0</v>
      </c>
      <c r="AH34" s="146">
        <f t="shared" si="288"/>
        <v>0</v>
      </c>
      <c r="AI34" s="146">
        <f t="shared" si="289"/>
        <v>0</v>
      </c>
      <c r="AJ34" s="146">
        <f t="shared" si="290"/>
        <v>0</v>
      </c>
      <c r="AK34" s="146">
        <f t="shared" si="291"/>
        <v>0</v>
      </c>
      <c r="AL34" s="146">
        <f t="shared" si="292"/>
        <v>0</v>
      </c>
      <c r="AM34" s="146">
        <f t="shared" si="293"/>
        <v>0</v>
      </c>
      <c r="AN34" s="146">
        <f t="shared" si="294"/>
        <v>0</v>
      </c>
      <c r="AO34" s="146">
        <f t="shared" si="295"/>
        <v>0</v>
      </c>
      <c r="AP34" s="146">
        <f t="shared" si="296"/>
        <v>0</v>
      </c>
      <c r="AQ34" s="146">
        <f t="shared" si="297"/>
        <v>0</v>
      </c>
      <c r="AR34" s="146">
        <f t="shared" si="298"/>
        <v>0</v>
      </c>
      <c r="AS34" s="146">
        <f t="shared" si="299"/>
        <v>0</v>
      </c>
      <c r="AT34" s="146">
        <f t="shared" si="300"/>
        <v>0</v>
      </c>
      <c r="AU34" s="146">
        <f t="shared" si="301"/>
        <v>0</v>
      </c>
    </row>
    <row r="35" spans="1:48" s="254" customFormat="1" ht="27" customHeight="1">
      <c r="A35" s="254" t="s">
        <v>311</v>
      </c>
      <c r="B35" s="147" t="s">
        <v>394</v>
      </c>
      <c r="C35" s="340">
        <v>1</v>
      </c>
      <c r="D35" s="340">
        <v>1</v>
      </c>
      <c r="E35" s="340">
        <v>1</v>
      </c>
      <c r="F35" s="694"/>
      <c r="G35" s="343">
        <v>0.05</v>
      </c>
      <c r="H35" s="343">
        <v>0.05</v>
      </c>
      <c r="I35" s="695">
        <f t="shared" si="43"/>
        <v>0</v>
      </c>
      <c r="J35" s="695">
        <f t="shared" si="44"/>
        <v>0</v>
      </c>
      <c r="K35" s="695">
        <f t="shared" si="45"/>
        <v>0</v>
      </c>
      <c r="L35" s="696">
        <f t="shared" si="266"/>
        <v>0</v>
      </c>
      <c r="M35" s="146">
        <f t="shared" si="267"/>
        <v>0</v>
      </c>
      <c r="N35" s="146">
        <f t="shared" si="268"/>
        <v>0</v>
      </c>
      <c r="O35" s="146">
        <f t="shared" si="269"/>
        <v>0</v>
      </c>
      <c r="P35" s="146">
        <f t="shared" si="270"/>
        <v>0</v>
      </c>
      <c r="Q35" s="146">
        <f t="shared" si="271"/>
        <v>0</v>
      </c>
      <c r="R35" s="146">
        <f t="shared" si="272"/>
        <v>0</v>
      </c>
      <c r="S35" s="146">
        <f t="shared" si="273"/>
        <v>0</v>
      </c>
      <c r="T35" s="146">
        <f t="shared" si="274"/>
        <v>0</v>
      </c>
      <c r="U35" s="146">
        <f t="shared" si="275"/>
        <v>0</v>
      </c>
      <c r="V35" s="146">
        <f t="shared" si="276"/>
        <v>0</v>
      </c>
      <c r="W35" s="146">
        <f t="shared" si="277"/>
        <v>0</v>
      </c>
      <c r="X35" s="146">
        <f t="shared" si="278"/>
        <v>0</v>
      </c>
      <c r="Y35" s="146">
        <f t="shared" si="279"/>
        <v>0</v>
      </c>
      <c r="Z35" s="146">
        <f t="shared" si="280"/>
        <v>0</v>
      </c>
      <c r="AA35" s="146">
        <f t="shared" si="281"/>
        <v>0</v>
      </c>
      <c r="AB35" s="146">
        <f t="shared" si="282"/>
        <v>0</v>
      </c>
      <c r="AC35" s="146">
        <f t="shared" si="283"/>
        <v>0</v>
      </c>
      <c r="AD35" s="146">
        <f t="shared" si="284"/>
        <v>0</v>
      </c>
      <c r="AE35" s="146">
        <f t="shared" si="285"/>
        <v>0</v>
      </c>
      <c r="AF35" s="146">
        <f t="shared" si="286"/>
        <v>0</v>
      </c>
      <c r="AG35" s="146">
        <f t="shared" si="287"/>
        <v>0</v>
      </c>
      <c r="AH35" s="146">
        <f t="shared" si="288"/>
        <v>0</v>
      </c>
      <c r="AI35" s="146">
        <f t="shared" si="289"/>
        <v>0</v>
      </c>
      <c r="AJ35" s="146">
        <f t="shared" si="290"/>
        <v>0</v>
      </c>
      <c r="AK35" s="146">
        <f t="shared" si="291"/>
        <v>0</v>
      </c>
      <c r="AL35" s="146">
        <f t="shared" si="292"/>
        <v>0</v>
      </c>
      <c r="AM35" s="146">
        <f t="shared" si="293"/>
        <v>0</v>
      </c>
      <c r="AN35" s="146">
        <f t="shared" si="294"/>
        <v>0</v>
      </c>
      <c r="AO35" s="146">
        <f t="shared" si="295"/>
        <v>0</v>
      </c>
      <c r="AP35" s="146">
        <f t="shared" si="296"/>
        <v>0</v>
      </c>
      <c r="AQ35" s="146">
        <f t="shared" si="297"/>
        <v>0</v>
      </c>
      <c r="AR35" s="146">
        <f t="shared" si="298"/>
        <v>0</v>
      </c>
      <c r="AS35" s="146">
        <f t="shared" si="299"/>
        <v>0</v>
      </c>
      <c r="AT35" s="146">
        <f t="shared" si="300"/>
        <v>0</v>
      </c>
      <c r="AU35" s="146">
        <f t="shared" si="301"/>
        <v>0</v>
      </c>
    </row>
    <row r="36" spans="1:48" s="254" customFormat="1" ht="27" customHeight="1">
      <c r="A36" s="254" t="s">
        <v>311</v>
      </c>
      <c r="B36" s="147" t="s">
        <v>393</v>
      </c>
      <c r="C36" s="340">
        <v>4</v>
      </c>
      <c r="D36" s="340">
        <v>4</v>
      </c>
      <c r="E36" s="340">
        <v>4</v>
      </c>
      <c r="F36" s="694"/>
      <c r="G36" s="343">
        <v>0.05</v>
      </c>
      <c r="H36" s="343">
        <v>0.05</v>
      </c>
      <c r="I36" s="695">
        <f t="shared" si="43"/>
        <v>0</v>
      </c>
      <c r="J36" s="695">
        <f t="shared" si="44"/>
        <v>0</v>
      </c>
      <c r="K36" s="695">
        <f t="shared" si="45"/>
        <v>0</v>
      </c>
      <c r="L36" s="696">
        <f t="shared" si="266"/>
        <v>0</v>
      </c>
      <c r="M36" s="146">
        <f t="shared" si="267"/>
        <v>0</v>
      </c>
      <c r="N36" s="146">
        <f t="shared" si="268"/>
        <v>0</v>
      </c>
      <c r="O36" s="146">
        <f t="shared" si="269"/>
        <v>0</v>
      </c>
      <c r="P36" s="146">
        <f t="shared" si="270"/>
        <v>0</v>
      </c>
      <c r="Q36" s="146">
        <f t="shared" si="271"/>
        <v>0</v>
      </c>
      <c r="R36" s="146">
        <f t="shared" si="272"/>
        <v>0</v>
      </c>
      <c r="S36" s="146">
        <f t="shared" si="273"/>
        <v>0</v>
      </c>
      <c r="T36" s="146">
        <f t="shared" si="274"/>
        <v>0</v>
      </c>
      <c r="U36" s="146">
        <f t="shared" si="275"/>
        <v>0</v>
      </c>
      <c r="V36" s="146">
        <f t="shared" si="276"/>
        <v>0</v>
      </c>
      <c r="W36" s="146">
        <f t="shared" si="277"/>
        <v>0</v>
      </c>
      <c r="X36" s="146">
        <f t="shared" si="278"/>
        <v>0</v>
      </c>
      <c r="Y36" s="146">
        <f t="shared" si="279"/>
        <v>0</v>
      </c>
      <c r="Z36" s="146">
        <f t="shared" si="280"/>
        <v>0</v>
      </c>
      <c r="AA36" s="146">
        <f t="shared" si="281"/>
        <v>0</v>
      </c>
      <c r="AB36" s="146">
        <f t="shared" si="282"/>
        <v>0</v>
      </c>
      <c r="AC36" s="146">
        <f t="shared" si="283"/>
        <v>0</v>
      </c>
      <c r="AD36" s="146">
        <f t="shared" si="284"/>
        <v>0</v>
      </c>
      <c r="AE36" s="146">
        <f t="shared" si="285"/>
        <v>0</v>
      </c>
      <c r="AF36" s="146">
        <f t="shared" si="286"/>
        <v>0</v>
      </c>
      <c r="AG36" s="146">
        <f t="shared" si="287"/>
        <v>0</v>
      </c>
      <c r="AH36" s="146">
        <f t="shared" si="288"/>
        <v>0</v>
      </c>
      <c r="AI36" s="146">
        <f t="shared" si="289"/>
        <v>0</v>
      </c>
      <c r="AJ36" s="146">
        <f t="shared" si="290"/>
        <v>0</v>
      </c>
      <c r="AK36" s="146">
        <f t="shared" si="291"/>
        <v>0</v>
      </c>
      <c r="AL36" s="146">
        <f t="shared" si="292"/>
        <v>0</v>
      </c>
      <c r="AM36" s="146">
        <f t="shared" si="293"/>
        <v>0</v>
      </c>
      <c r="AN36" s="146">
        <f t="shared" si="294"/>
        <v>0</v>
      </c>
      <c r="AO36" s="146">
        <f t="shared" si="295"/>
        <v>0</v>
      </c>
      <c r="AP36" s="146">
        <f t="shared" si="296"/>
        <v>0</v>
      </c>
      <c r="AQ36" s="146">
        <f t="shared" si="297"/>
        <v>0</v>
      </c>
      <c r="AR36" s="146">
        <f t="shared" si="298"/>
        <v>0</v>
      </c>
      <c r="AS36" s="146">
        <f t="shared" si="299"/>
        <v>0</v>
      </c>
      <c r="AT36" s="146">
        <f t="shared" si="300"/>
        <v>0</v>
      </c>
      <c r="AU36" s="146">
        <f t="shared" si="301"/>
        <v>0</v>
      </c>
    </row>
    <row r="37" spans="1:48" s="254" customFormat="1" ht="27" customHeight="1">
      <c r="A37" s="254" t="s">
        <v>311</v>
      </c>
      <c r="B37" s="147" t="s">
        <v>308</v>
      </c>
      <c r="C37" s="340">
        <v>1</v>
      </c>
      <c r="D37" s="340">
        <v>1</v>
      </c>
      <c r="E37" s="340">
        <v>1</v>
      </c>
      <c r="F37" s="694"/>
      <c r="G37" s="343">
        <v>0.05</v>
      </c>
      <c r="H37" s="343">
        <v>0.05</v>
      </c>
      <c r="I37" s="695">
        <f t="shared" si="43"/>
        <v>0</v>
      </c>
      <c r="J37" s="695">
        <f t="shared" si="44"/>
        <v>0</v>
      </c>
      <c r="K37" s="695">
        <f t="shared" si="45"/>
        <v>0</v>
      </c>
      <c r="L37" s="696">
        <f t="shared" si="266"/>
        <v>0</v>
      </c>
      <c r="M37" s="146">
        <f t="shared" si="267"/>
        <v>0</v>
      </c>
      <c r="N37" s="146">
        <f t="shared" si="268"/>
        <v>0</v>
      </c>
      <c r="O37" s="146">
        <f t="shared" si="269"/>
        <v>0</v>
      </c>
      <c r="P37" s="146">
        <f t="shared" si="270"/>
        <v>0</v>
      </c>
      <c r="Q37" s="146">
        <f t="shared" si="271"/>
        <v>0</v>
      </c>
      <c r="R37" s="146">
        <f t="shared" si="272"/>
        <v>0</v>
      </c>
      <c r="S37" s="146">
        <f t="shared" si="273"/>
        <v>0</v>
      </c>
      <c r="T37" s="146">
        <f t="shared" si="274"/>
        <v>0</v>
      </c>
      <c r="U37" s="146">
        <f t="shared" si="275"/>
        <v>0</v>
      </c>
      <c r="V37" s="146">
        <f t="shared" si="276"/>
        <v>0</v>
      </c>
      <c r="W37" s="146">
        <f t="shared" si="277"/>
        <v>0</v>
      </c>
      <c r="X37" s="146">
        <f t="shared" si="278"/>
        <v>0</v>
      </c>
      <c r="Y37" s="146">
        <f t="shared" si="279"/>
        <v>0</v>
      </c>
      <c r="Z37" s="146">
        <f t="shared" si="280"/>
        <v>0</v>
      </c>
      <c r="AA37" s="146">
        <f t="shared" si="281"/>
        <v>0</v>
      </c>
      <c r="AB37" s="146">
        <f t="shared" si="282"/>
        <v>0</v>
      </c>
      <c r="AC37" s="146">
        <f t="shared" si="283"/>
        <v>0</v>
      </c>
      <c r="AD37" s="146">
        <f t="shared" si="284"/>
        <v>0</v>
      </c>
      <c r="AE37" s="146">
        <f t="shared" si="285"/>
        <v>0</v>
      </c>
      <c r="AF37" s="146">
        <f t="shared" si="286"/>
        <v>0</v>
      </c>
      <c r="AG37" s="146">
        <f t="shared" si="287"/>
        <v>0</v>
      </c>
      <c r="AH37" s="146">
        <f t="shared" si="288"/>
        <v>0</v>
      </c>
      <c r="AI37" s="146">
        <f t="shared" si="289"/>
        <v>0</v>
      </c>
      <c r="AJ37" s="146">
        <f t="shared" si="290"/>
        <v>0</v>
      </c>
      <c r="AK37" s="146">
        <f t="shared" si="291"/>
        <v>0</v>
      </c>
      <c r="AL37" s="146">
        <f t="shared" si="292"/>
        <v>0</v>
      </c>
      <c r="AM37" s="146">
        <f t="shared" si="293"/>
        <v>0</v>
      </c>
      <c r="AN37" s="146">
        <f t="shared" si="294"/>
        <v>0</v>
      </c>
      <c r="AO37" s="146">
        <f t="shared" si="295"/>
        <v>0</v>
      </c>
      <c r="AP37" s="146">
        <f t="shared" si="296"/>
        <v>0</v>
      </c>
      <c r="AQ37" s="146">
        <f t="shared" si="297"/>
        <v>0</v>
      </c>
      <c r="AR37" s="146">
        <f t="shared" si="298"/>
        <v>0</v>
      </c>
      <c r="AS37" s="146">
        <f t="shared" si="299"/>
        <v>0</v>
      </c>
      <c r="AT37" s="146">
        <f t="shared" si="300"/>
        <v>0</v>
      </c>
      <c r="AU37" s="146">
        <f t="shared" si="301"/>
        <v>0</v>
      </c>
    </row>
    <row r="38" spans="1:48" s="254" customFormat="1" ht="27" customHeight="1">
      <c r="A38" s="254" t="s">
        <v>311</v>
      </c>
      <c r="B38" s="147" t="s">
        <v>340</v>
      </c>
      <c r="C38" s="340">
        <v>1</v>
      </c>
      <c r="D38" s="340">
        <v>1</v>
      </c>
      <c r="E38" s="340">
        <v>1</v>
      </c>
      <c r="F38" s="694"/>
      <c r="G38" s="343">
        <v>0.05</v>
      </c>
      <c r="H38" s="343">
        <v>0.05</v>
      </c>
      <c r="I38" s="695">
        <f t="shared" si="43"/>
        <v>0</v>
      </c>
      <c r="J38" s="695">
        <f t="shared" si="44"/>
        <v>0</v>
      </c>
      <c r="K38" s="695">
        <f t="shared" si="45"/>
        <v>0</v>
      </c>
      <c r="L38" s="696">
        <f t="shared" ref="L38" si="302">F38*C38</f>
        <v>0</v>
      </c>
      <c r="M38" s="146">
        <f t="shared" ref="M38" si="303">L38</f>
        <v>0</v>
      </c>
      <c r="N38" s="146">
        <f t="shared" ref="N38" si="304">M38</f>
        <v>0</v>
      </c>
      <c r="O38" s="146">
        <f t="shared" ref="O38" si="305">N38</f>
        <v>0</v>
      </c>
      <c r="P38" s="146">
        <f t="shared" ref="P38" si="306">O38</f>
        <v>0</v>
      </c>
      <c r="Q38" s="146">
        <f t="shared" ref="Q38" si="307">P38</f>
        <v>0</v>
      </c>
      <c r="R38" s="146">
        <f t="shared" ref="R38" si="308">Q38</f>
        <v>0</v>
      </c>
      <c r="S38" s="146">
        <f t="shared" ref="S38" si="309">R38</f>
        <v>0</v>
      </c>
      <c r="T38" s="146">
        <f t="shared" ref="T38" si="310">S38</f>
        <v>0</v>
      </c>
      <c r="U38" s="146">
        <f t="shared" ref="U38" si="311">T38</f>
        <v>0</v>
      </c>
      <c r="V38" s="146">
        <f t="shared" ref="V38" si="312">U38</f>
        <v>0</v>
      </c>
      <c r="W38" s="146">
        <f t="shared" ref="W38" si="313">V38</f>
        <v>0</v>
      </c>
      <c r="X38" s="146">
        <f t="shared" ref="X38" si="314">F38*(1+G38)*D38</f>
        <v>0</v>
      </c>
      <c r="Y38" s="146">
        <f t="shared" ref="Y38" si="315">X38</f>
        <v>0</v>
      </c>
      <c r="Z38" s="146">
        <f t="shared" ref="Z38" si="316">Y38</f>
        <v>0</v>
      </c>
      <c r="AA38" s="146">
        <f t="shared" ref="AA38" si="317">Z38</f>
        <v>0</v>
      </c>
      <c r="AB38" s="146">
        <f t="shared" ref="AB38" si="318">AA38</f>
        <v>0</v>
      </c>
      <c r="AC38" s="146">
        <f t="shared" ref="AC38" si="319">AB38</f>
        <v>0</v>
      </c>
      <c r="AD38" s="146">
        <f t="shared" ref="AD38" si="320">AC38</f>
        <v>0</v>
      </c>
      <c r="AE38" s="146">
        <f t="shared" ref="AE38" si="321">AD38</f>
        <v>0</v>
      </c>
      <c r="AF38" s="146">
        <f t="shared" ref="AF38" si="322">AE38</f>
        <v>0</v>
      </c>
      <c r="AG38" s="146">
        <f t="shared" ref="AG38" si="323">AF38</f>
        <v>0</v>
      </c>
      <c r="AH38" s="146">
        <f t="shared" ref="AH38" si="324">AG38</f>
        <v>0</v>
      </c>
      <c r="AI38" s="146">
        <f t="shared" ref="AI38" si="325">AH38</f>
        <v>0</v>
      </c>
      <c r="AJ38" s="146">
        <f t="shared" ref="AJ38" si="326">F38*(1+G38)*(1+H38)*E38</f>
        <v>0</v>
      </c>
      <c r="AK38" s="146">
        <f t="shared" ref="AK38" si="327">AJ38</f>
        <v>0</v>
      </c>
      <c r="AL38" s="146">
        <f t="shared" ref="AL38" si="328">AK38</f>
        <v>0</v>
      </c>
      <c r="AM38" s="146">
        <f t="shared" ref="AM38" si="329">AL38</f>
        <v>0</v>
      </c>
      <c r="AN38" s="146">
        <f t="shared" ref="AN38" si="330">AM38</f>
        <v>0</v>
      </c>
      <c r="AO38" s="146">
        <f t="shared" ref="AO38" si="331">AN38</f>
        <v>0</v>
      </c>
      <c r="AP38" s="146">
        <f t="shared" ref="AP38" si="332">AO38</f>
        <v>0</v>
      </c>
      <c r="AQ38" s="146">
        <f t="shared" ref="AQ38" si="333">AP38</f>
        <v>0</v>
      </c>
      <c r="AR38" s="146">
        <f t="shared" ref="AR38" si="334">AQ38</f>
        <v>0</v>
      </c>
      <c r="AS38" s="146">
        <f t="shared" ref="AS38" si="335">AR38</f>
        <v>0</v>
      </c>
      <c r="AT38" s="146">
        <f t="shared" ref="AT38" si="336">AS38</f>
        <v>0</v>
      </c>
      <c r="AU38" s="146">
        <f t="shared" ref="AU38" si="337">AT38</f>
        <v>0</v>
      </c>
    </row>
    <row r="39" spans="1:48" s="254" customFormat="1" ht="27" customHeight="1">
      <c r="A39" s="254" t="s">
        <v>311</v>
      </c>
      <c r="B39" s="147" t="s">
        <v>309</v>
      </c>
      <c r="C39" s="340">
        <v>1</v>
      </c>
      <c r="D39" s="340">
        <v>1</v>
      </c>
      <c r="E39" s="340">
        <v>1</v>
      </c>
      <c r="F39" s="694"/>
      <c r="G39" s="343">
        <v>0.05</v>
      </c>
      <c r="H39" s="343">
        <v>0.05</v>
      </c>
      <c r="I39" s="695">
        <f t="shared" si="43"/>
        <v>0</v>
      </c>
      <c r="J39" s="695">
        <f t="shared" si="44"/>
        <v>0</v>
      </c>
      <c r="K39" s="695">
        <f t="shared" si="45"/>
        <v>0</v>
      </c>
      <c r="L39" s="696">
        <f t="shared" si="266"/>
        <v>0</v>
      </c>
      <c r="M39" s="146">
        <f t="shared" si="267"/>
        <v>0</v>
      </c>
      <c r="N39" s="146">
        <f t="shared" si="268"/>
        <v>0</v>
      </c>
      <c r="O39" s="146">
        <f t="shared" si="269"/>
        <v>0</v>
      </c>
      <c r="P39" s="146">
        <f t="shared" si="270"/>
        <v>0</v>
      </c>
      <c r="Q39" s="146">
        <f t="shared" si="271"/>
        <v>0</v>
      </c>
      <c r="R39" s="146">
        <f t="shared" si="272"/>
        <v>0</v>
      </c>
      <c r="S39" s="146">
        <f t="shared" si="273"/>
        <v>0</v>
      </c>
      <c r="T39" s="146">
        <f t="shared" si="274"/>
        <v>0</v>
      </c>
      <c r="U39" s="146">
        <f t="shared" si="275"/>
        <v>0</v>
      </c>
      <c r="V39" s="146">
        <f t="shared" si="276"/>
        <v>0</v>
      </c>
      <c r="W39" s="146">
        <f t="shared" si="277"/>
        <v>0</v>
      </c>
      <c r="X39" s="146">
        <f t="shared" si="278"/>
        <v>0</v>
      </c>
      <c r="Y39" s="146">
        <f t="shared" si="279"/>
        <v>0</v>
      </c>
      <c r="Z39" s="146">
        <f t="shared" si="280"/>
        <v>0</v>
      </c>
      <c r="AA39" s="146">
        <f t="shared" si="281"/>
        <v>0</v>
      </c>
      <c r="AB39" s="146">
        <f t="shared" si="282"/>
        <v>0</v>
      </c>
      <c r="AC39" s="146">
        <f t="shared" si="283"/>
        <v>0</v>
      </c>
      <c r="AD39" s="146">
        <f t="shared" si="284"/>
        <v>0</v>
      </c>
      <c r="AE39" s="146">
        <f t="shared" si="285"/>
        <v>0</v>
      </c>
      <c r="AF39" s="146">
        <f t="shared" si="286"/>
        <v>0</v>
      </c>
      <c r="AG39" s="146">
        <f t="shared" si="287"/>
        <v>0</v>
      </c>
      <c r="AH39" s="146">
        <f t="shared" si="288"/>
        <v>0</v>
      </c>
      <c r="AI39" s="146">
        <f t="shared" si="289"/>
        <v>0</v>
      </c>
      <c r="AJ39" s="146">
        <f t="shared" si="290"/>
        <v>0</v>
      </c>
      <c r="AK39" s="146">
        <f t="shared" si="291"/>
        <v>0</v>
      </c>
      <c r="AL39" s="146">
        <f t="shared" si="292"/>
        <v>0</v>
      </c>
      <c r="AM39" s="146">
        <f t="shared" si="293"/>
        <v>0</v>
      </c>
      <c r="AN39" s="146">
        <f t="shared" si="294"/>
        <v>0</v>
      </c>
      <c r="AO39" s="146">
        <f t="shared" si="295"/>
        <v>0</v>
      </c>
      <c r="AP39" s="146">
        <f t="shared" si="296"/>
        <v>0</v>
      </c>
      <c r="AQ39" s="146">
        <f t="shared" si="297"/>
        <v>0</v>
      </c>
      <c r="AR39" s="146">
        <f t="shared" si="298"/>
        <v>0</v>
      </c>
      <c r="AS39" s="146">
        <f t="shared" si="299"/>
        <v>0</v>
      </c>
      <c r="AT39" s="146">
        <f t="shared" si="300"/>
        <v>0</v>
      </c>
      <c r="AU39" s="146">
        <f t="shared" si="301"/>
        <v>0</v>
      </c>
    </row>
    <row r="40" spans="1:48" s="148" customFormat="1" ht="27" customHeight="1">
      <c r="A40" s="254"/>
      <c r="B40" s="149" t="s">
        <v>145</v>
      </c>
      <c r="C40" s="420">
        <f>SUM(C5:C39)</f>
        <v>49.5</v>
      </c>
      <c r="D40" s="420">
        <f t="shared" ref="D40:E40" si="338">SUM(D5:D39)</f>
        <v>60.5</v>
      </c>
      <c r="E40" s="420">
        <f t="shared" si="338"/>
        <v>61.5</v>
      </c>
      <c r="F40" s="150"/>
      <c r="G40" s="151"/>
      <c r="H40" s="152"/>
      <c r="I40" s="152"/>
      <c r="J40" s="153"/>
      <c r="K40" s="153"/>
      <c r="L40" s="186">
        <f>SUM(L5:L39)+SUM(L5:L39)/0.87*13%</f>
        <v>431365.5172413793</v>
      </c>
      <c r="M40" s="186">
        <f t="shared" ref="M40:AU40" si="339">SUM(M5:M39)+SUM(M5:M39)/0.87*13%</f>
        <v>541448.27586206899</v>
      </c>
      <c r="N40" s="186">
        <f t="shared" si="339"/>
        <v>757131.03448275861</v>
      </c>
      <c r="O40" s="186">
        <f t="shared" si="339"/>
        <v>867213.79310344823</v>
      </c>
      <c r="P40" s="186">
        <f t="shared" si="339"/>
        <v>1082896.551724138</v>
      </c>
      <c r="Q40" s="186">
        <f t="shared" si="339"/>
        <v>1200866.6666666667</v>
      </c>
      <c r="R40" s="186">
        <f t="shared" si="339"/>
        <v>1306466.6666666667</v>
      </c>
      <c r="S40" s="186">
        <f t="shared" si="339"/>
        <v>1306466.6666666667</v>
      </c>
      <c r="T40" s="186">
        <f t="shared" si="339"/>
        <v>1306466.6666666667</v>
      </c>
      <c r="U40" s="186">
        <f t="shared" si="339"/>
        <v>1306466.6666666667</v>
      </c>
      <c r="V40" s="186">
        <f t="shared" si="339"/>
        <v>1306466.6666666667</v>
      </c>
      <c r="W40" s="186">
        <f t="shared" si="339"/>
        <v>1306466.6666666667</v>
      </c>
      <c r="X40" s="186">
        <f t="shared" si="339"/>
        <v>2587356.3218390807</v>
      </c>
      <c r="Y40" s="186">
        <f t="shared" si="339"/>
        <v>2587356.3218390807</v>
      </c>
      <c r="Z40" s="186">
        <f t="shared" si="339"/>
        <v>2587356.3218390807</v>
      </c>
      <c r="AA40" s="186">
        <f t="shared" si="339"/>
        <v>2587356.3218390807</v>
      </c>
      <c r="AB40" s="186">
        <f t="shared" si="339"/>
        <v>2587356.3218390807</v>
      </c>
      <c r="AC40" s="186">
        <f t="shared" si="339"/>
        <v>2587356.3218390807</v>
      </c>
      <c r="AD40" s="186">
        <f t="shared" si="339"/>
        <v>2587356.3218390807</v>
      </c>
      <c r="AE40" s="186">
        <f t="shared" si="339"/>
        <v>2587356.3218390807</v>
      </c>
      <c r="AF40" s="186">
        <f t="shared" si="339"/>
        <v>2587356.3218390807</v>
      </c>
      <c r="AG40" s="186">
        <f t="shared" si="339"/>
        <v>2587356.3218390807</v>
      </c>
      <c r="AH40" s="186">
        <f t="shared" si="339"/>
        <v>2587356.3218390807</v>
      </c>
      <c r="AI40" s="186">
        <f t="shared" si="339"/>
        <v>2587356.3218390807</v>
      </c>
      <c r="AJ40" s="186">
        <f t="shared" si="339"/>
        <v>3545827.5862068967</v>
      </c>
      <c r="AK40" s="186">
        <f t="shared" si="339"/>
        <v>3545827.5862068967</v>
      </c>
      <c r="AL40" s="186">
        <f t="shared" si="339"/>
        <v>3545827.5862068967</v>
      </c>
      <c r="AM40" s="186">
        <f t="shared" si="339"/>
        <v>3545827.5862068967</v>
      </c>
      <c r="AN40" s="186">
        <f t="shared" si="339"/>
        <v>3545827.5862068967</v>
      </c>
      <c r="AO40" s="186">
        <f t="shared" si="339"/>
        <v>3545827.5862068967</v>
      </c>
      <c r="AP40" s="186">
        <f t="shared" si="339"/>
        <v>3545827.5862068967</v>
      </c>
      <c r="AQ40" s="186">
        <f t="shared" si="339"/>
        <v>3545827.5862068967</v>
      </c>
      <c r="AR40" s="186">
        <f t="shared" si="339"/>
        <v>3545827.5862068967</v>
      </c>
      <c r="AS40" s="186">
        <f t="shared" si="339"/>
        <v>3545827.5862068967</v>
      </c>
      <c r="AT40" s="186">
        <f t="shared" si="339"/>
        <v>3545827.5862068967</v>
      </c>
      <c r="AU40" s="186">
        <f t="shared" si="339"/>
        <v>3545827.5862068967</v>
      </c>
    </row>
    <row r="41" spans="1:48" s="133" customFormat="1" ht="20.25" customHeight="1">
      <c r="A41" s="254"/>
      <c r="B41" s="156"/>
      <c r="C41" s="135"/>
      <c r="D41" s="135"/>
      <c r="E41" s="135"/>
      <c r="F41" s="155"/>
      <c r="G41" s="135"/>
      <c r="H41" s="135"/>
      <c r="I41" s="136"/>
      <c r="J41" s="136"/>
      <c r="K41" s="136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</row>
    <row r="42" spans="1:48" s="148" customFormat="1" ht="21" customHeight="1">
      <c r="A42" s="254"/>
      <c r="B42" s="156" t="s">
        <v>120</v>
      </c>
      <c r="C42" s="157"/>
      <c r="D42" s="157"/>
      <c r="E42" s="157"/>
      <c r="F42" s="158"/>
      <c r="G42" s="159"/>
      <c r="H42" s="160"/>
      <c r="I42" s="160">
        <f>SUMIF($L$3:$AU$3,$I$3,$L42:$AU42)</f>
        <v>4578501.1441405741</v>
      </c>
      <c r="J42" s="161">
        <f>SUMIF($L$3:$AU$3,$J$3,$L42:$AU42)</f>
        <v>11151740.816488309</v>
      </c>
      <c r="K42" s="161">
        <f t="shared" ref="K42" si="340">SUMIF($L$3:$AU$3,$K$3,$L42:$AU42)</f>
        <v>15252572.841854937</v>
      </c>
      <c r="L42" s="162">
        <f>(L44+L40+L46)/0.87*30.2%</f>
        <v>155292.39793896154</v>
      </c>
      <c r="M42" s="162">
        <f t="shared" ref="M42:AU42" si="341">(M44+M40+M46)/0.87*30.2%</f>
        <v>194893.53943717797</v>
      </c>
      <c r="N42" s="162">
        <f t="shared" si="341"/>
        <v>272539.7384066587</v>
      </c>
      <c r="O42" s="162">
        <f t="shared" si="341"/>
        <v>312210.30519223143</v>
      </c>
      <c r="P42" s="162">
        <f t="shared" si="341"/>
        <v>389856.50416171225</v>
      </c>
      <c r="Q42" s="162">
        <f t="shared" si="341"/>
        <v>432264.98084291187</v>
      </c>
      <c r="R42" s="162">
        <f t="shared" si="341"/>
        <v>470240.61302681995</v>
      </c>
      <c r="S42" s="162">
        <f t="shared" si="341"/>
        <v>470240.61302681995</v>
      </c>
      <c r="T42" s="162">
        <f t="shared" si="341"/>
        <v>470240.61302681995</v>
      </c>
      <c r="U42" s="162">
        <f t="shared" si="341"/>
        <v>470240.61302681995</v>
      </c>
      <c r="V42" s="162">
        <f t="shared" si="341"/>
        <v>470240.61302681995</v>
      </c>
      <c r="W42" s="162">
        <f t="shared" si="341"/>
        <v>470240.61302681995</v>
      </c>
      <c r="X42" s="162">
        <f t="shared" si="341"/>
        <v>929311.73470735911</v>
      </c>
      <c r="Y42" s="162">
        <f t="shared" si="341"/>
        <v>929311.73470735911</v>
      </c>
      <c r="Z42" s="162">
        <f t="shared" si="341"/>
        <v>929311.73470735911</v>
      </c>
      <c r="AA42" s="162">
        <f t="shared" si="341"/>
        <v>929311.73470735911</v>
      </c>
      <c r="AB42" s="162">
        <f t="shared" si="341"/>
        <v>929311.73470735911</v>
      </c>
      <c r="AC42" s="162">
        <f t="shared" si="341"/>
        <v>929311.73470735911</v>
      </c>
      <c r="AD42" s="162">
        <f t="shared" si="341"/>
        <v>929311.73470735911</v>
      </c>
      <c r="AE42" s="162">
        <f t="shared" si="341"/>
        <v>929311.73470735911</v>
      </c>
      <c r="AF42" s="162">
        <f t="shared" si="341"/>
        <v>929311.73470735911</v>
      </c>
      <c r="AG42" s="162">
        <f t="shared" si="341"/>
        <v>929311.73470735911</v>
      </c>
      <c r="AH42" s="162">
        <f t="shared" si="341"/>
        <v>929311.73470735911</v>
      </c>
      <c r="AI42" s="162">
        <f t="shared" si="341"/>
        <v>929311.73470735911</v>
      </c>
      <c r="AJ42" s="162">
        <f t="shared" si="341"/>
        <v>1271047.7368212445</v>
      </c>
      <c r="AK42" s="162">
        <f t="shared" si="341"/>
        <v>1271047.7368212445</v>
      </c>
      <c r="AL42" s="162">
        <f t="shared" si="341"/>
        <v>1271047.7368212445</v>
      </c>
      <c r="AM42" s="162">
        <f t="shared" si="341"/>
        <v>1271047.7368212445</v>
      </c>
      <c r="AN42" s="162">
        <f t="shared" si="341"/>
        <v>1271047.7368212445</v>
      </c>
      <c r="AO42" s="162">
        <f t="shared" si="341"/>
        <v>1271047.7368212445</v>
      </c>
      <c r="AP42" s="162">
        <f t="shared" si="341"/>
        <v>1271047.7368212445</v>
      </c>
      <c r="AQ42" s="162">
        <f t="shared" si="341"/>
        <v>1271047.7368212445</v>
      </c>
      <c r="AR42" s="162">
        <f t="shared" si="341"/>
        <v>1271047.7368212445</v>
      </c>
      <c r="AS42" s="162">
        <f t="shared" si="341"/>
        <v>1271047.7368212445</v>
      </c>
      <c r="AT42" s="162">
        <f t="shared" si="341"/>
        <v>1271047.7368212445</v>
      </c>
      <c r="AU42" s="162">
        <f t="shared" si="341"/>
        <v>1271047.7368212445</v>
      </c>
      <c r="AV42" s="162"/>
    </row>
    <row r="43" spans="1:48" s="133" customFormat="1" ht="15" customHeight="1">
      <c r="B43" s="134"/>
      <c r="C43" s="136"/>
      <c r="D43" s="136"/>
      <c r="E43" s="136"/>
      <c r="F43" s="137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8"/>
    </row>
    <row r="44" spans="1:48" s="555" customFormat="1" ht="21" customHeight="1">
      <c r="B44" s="556" t="s">
        <v>250</v>
      </c>
      <c r="C44" s="557">
        <v>200</v>
      </c>
      <c r="D44" s="557">
        <v>200</v>
      </c>
      <c r="E44" s="557">
        <v>200</v>
      </c>
      <c r="F44" s="558"/>
      <c r="G44" s="559"/>
      <c r="H44" s="559"/>
      <c r="I44" s="560">
        <f>SUMIF($L$3:$AU$3,$I$3,$L44:$AU44)</f>
        <v>470000</v>
      </c>
      <c r="J44" s="560">
        <f>SUMIF($L$3:$AU$3,$J$3,$L44:$AU44)</f>
        <v>1077600</v>
      </c>
      <c r="K44" s="560">
        <f>SUMIF($L$3:$AU$3,$K$3,$L44:$AU44)</f>
        <v>1389600</v>
      </c>
      <c r="L44" s="561">
        <f>(SUMIF('Revenue OFT_2'!$A:$A,"Кол-во операций Катаракта",'Revenue OFT_2'!J:J)+SUMIF('Revenue OFT_2'!$A:$A,"Кол-во операций Эксимер",'Revenue OFT_2'!J:J)+SUMIF('Revenue OFT_2'!$A:$A,"Кол-во операций Витрео",'Revenue OFT_2'!J:J)+SUMIF('Revenue OFT_2'!$A:$A,"Кол-во операций Пресбиопия",'Revenue OFT_2'!J:J))*$C$44</f>
        <v>16000</v>
      </c>
      <c r="M44" s="561">
        <f>(SUMIF('Revenue OFT_2'!$A:$A,"Кол-во операций Катаракта",'Revenue OFT_2'!K:K)+SUMIF('Revenue OFT_2'!$A:$A,"Кол-во операций Эксимер",'Revenue OFT_2'!K:K)+SUMIF('Revenue OFT_2'!$A:$A,"Кол-во операций Витрео",'Revenue OFT_2'!K:K)+SUMIF('Revenue OFT_2'!$A:$A,"Кол-во операций Пресбиопия",'Revenue OFT_2'!K:K))*$C$44</f>
        <v>20000</v>
      </c>
      <c r="N44" s="561">
        <f>(SUMIF('Revenue OFT_2'!$A:$A,"Кол-во операций Катаракта",'Revenue OFT_2'!L:L)+SUMIF('Revenue OFT_2'!$A:$A,"Кол-во операций Эксимер",'Revenue OFT_2'!L:L)+SUMIF('Revenue OFT_2'!$A:$A,"Кол-во операций Витрео",'Revenue OFT_2'!L:L)+SUMIF('Revenue OFT_2'!$A:$A,"Кол-во операций Пресбиопия",'Revenue OFT_2'!L:L))*$C$44</f>
        <v>28000</v>
      </c>
      <c r="O44" s="561">
        <f>(SUMIF('Revenue OFT_2'!$A:$A,"Кол-во операций Катаракта",'Revenue OFT_2'!M:M)+SUMIF('Revenue OFT_2'!$A:$A,"Кол-во операций Эксимер",'Revenue OFT_2'!M:M)+SUMIF('Revenue OFT_2'!$A:$A,"Кол-во операций Витрео",'Revenue OFT_2'!M:M)+SUMIF('Revenue OFT_2'!$A:$A,"Кол-во операций Пресбиопия",'Revenue OFT_2'!M:M))*$C$44</f>
        <v>32200</v>
      </c>
      <c r="P44" s="561">
        <f>(SUMIF('Revenue OFT_2'!$A:$A,"Кол-во операций Катаракта",'Revenue OFT_2'!N:N)+SUMIF('Revenue OFT_2'!$A:$A,"Кол-во операций Эксимер",'Revenue OFT_2'!N:N)+SUMIF('Revenue OFT_2'!$A:$A,"Кол-во операций Витрео",'Revenue OFT_2'!N:N)+SUMIF('Revenue OFT_2'!$A:$A,"Кол-во операций Пресбиопия",'Revenue OFT_2'!N:N))*$C$44</f>
        <v>40200</v>
      </c>
      <c r="Q44" s="561">
        <f>(SUMIF('Revenue OFT_2'!$A:$A,"Кол-во операций Катаракта",'Revenue OFT_2'!O:O)+SUMIF('Revenue OFT_2'!$A:$A,"Кол-во операций Эксимер",'Revenue OFT_2'!O:O)+SUMIF('Revenue OFT_2'!$A:$A,"Кол-во операций Витрео",'Revenue OFT_2'!O:O)+SUMIF('Revenue OFT_2'!$A:$A,"Кол-во операций Пресбиопия",'Revenue OFT_2'!O:O))*$C$44</f>
        <v>44400</v>
      </c>
      <c r="R44" s="561">
        <f>(SUMIF('Revenue OFT_2'!$A:$A,"Кол-во операций Катаракта",'Revenue OFT_2'!P:P)+SUMIF('Revenue OFT_2'!$A:$A,"Кол-во операций Эксимер",'Revenue OFT_2'!P:P)+SUMIF('Revenue OFT_2'!$A:$A,"Кол-во операций Витрео",'Revenue OFT_2'!P:P)+SUMIF('Revenue OFT_2'!$A:$A,"Кол-во операций Пресбиопия",'Revenue OFT_2'!P:P))*$C$44</f>
        <v>48200</v>
      </c>
      <c r="S44" s="561">
        <f>(SUMIF('Revenue OFT_2'!$A:$A,"Кол-во операций Катаракта",'Revenue OFT_2'!Q:Q)+SUMIF('Revenue OFT_2'!$A:$A,"Кол-во операций Эксимер",'Revenue OFT_2'!Q:Q)+SUMIF('Revenue OFT_2'!$A:$A,"Кол-во операций Витрео",'Revenue OFT_2'!Q:Q)+SUMIF('Revenue OFT_2'!$A:$A,"Кол-во операций Пресбиопия",'Revenue OFT_2'!Q:Q))*$C$44</f>
        <v>48200</v>
      </c>
      <c r="T44" s="561">
        <f>(SUMIF('Revenue OFT_2'!$A:$A,"Кол-во операций Катаракта",'Revenue OFT_2'!R:R)+SUMIF('Revenue OFT_2'!$A:$A,"Кол-во операций Эксимер",'Revenue OFT_2'!R:R)+SUMIF('Revenue OFT_2'!$A:$A,"Кол-во операций Витрео",'Revenue OFT_2'!R:R)+SUMIF('Revenue OFT_2'!$A:$A,"Кол-во операций Пресбиопия",'Revenue OFT_2'!R:R))*$C$44</f>
        <v>48200</v>
      </c>
      <c r="U44" s="561">
        <f>(SUMIF('Revenue OFT_2'!$A:$A,"Кол-во операций Катаракта",'Revenue OFT_2'!S:S)+SUMIF('Revenue OFT_2'!$A:$A,"Кол-во операций Эксимер",'Revenue OFT_2'!S:S)+SUMIF('Revenue OFT_2'!$A:$A,"Кол-во операций Витрео",'Revenue OFT_2'!S:S)+SUMIF('Revenue OFT_2'!$A:$A,"Кол-во операций Пресбиопия",'Revenue OFT_2'!S:S))*$C$44</f>
        <v>48200</v>
      </c>
      <c r="V44" s="561">
        <f>(SUMIF('Revenue OFT_2'!$A:$A,"Кол-во операций Катаракта",'Revenue OFT_2'!T:T)+SUMIF('Revenue OFT_2'!$A:$A,"Кол-во операций Эксимер",'Revenue OFT_2'!T:T)+SUMIF('Revenue OFT_2'!$A:$A,"Кол-во операций Витрео",'Revenue OFT_2'!T:T)+SUMIF('Revenue OFT_2'!$A:$A,"Кол-во операций Пресбиопия",'Revenue OFT_2'!T:T))*$C$44</f>
        <v>48200</v>
      </c>
      <c r="W44" s="561">
        <f>(SUMIF('Revenue OFT_2'!$A:$A,"Кол-во операций Катаракта",'Revenue OFT_2'!U:U)+SUMIF('Revenue OFT_2'!$A:$A,"Кол-во операций Эксимер",'Revenue OFT_2'!U:U)+SUMIF('Revenue OFT_2'!$A:$A,"Кол-во операций Витрео",'Revenue OFT_2'!U:U)+SUMIF('Revenue OFT_2'!$A:$A,"Кол-во операций Пресбиопия",'Revenue OFT_2'!U:U))*$C$44</f>
        <v>48200</v>
      </c>
      <c r="X44" s="561">
        <f>(SUMIF('Revenue OFT_2'!$A:$A,"Кол-во операций Катаракта",'Revenue OFT_2'!V:V)+SUMIF('Revenue OFT_2'!$A:$A,"Кол-во операций Эксимер",'Revenue OFT_2'!V:V)+SUMIF('Revenue OFT_2'!$A:$A,"Кол-во операций Витрео",'Revenue OFT_2'!V:V)+SUMIF('Revenue OFT_2'!$A:$A,"Кол-во операций Пресбиопия",'Revenue OFT_2'!V:V))*$D$44</f>
        <v>89800</v>
      </c>
      <c r="Y44" s="561">
        <f>(SUMIF('Revenue OFT_2'!$A:$A,"Кол-во операций Катаракта",'Revenue OFT_2'!W:W)+SUMIF('Revenue OFT_2'!$A:$A,"Кол-во операций Эксимер",'Revenue OFT_2'!W:W)+SUMIF('Revenue OFT_2'!$A:$A,"Кол-во операций Витрео",'Revenue OFT_2'!W:W)+SUMIF('Revenue OFT_2'!$A:$A,"Кол-во операций Пресбиопия",'Revenue OFT_2'!W:W))*$D$44</f>
        <v>89800</v>
      </c>
      <c r="Z44" s="561">
        <f>(SUMIF('Revenue OFT_2'!$A:$A,"Кол-во операций Катаракта",'Revenue OFT_2'!X:X)+SUMIF('Revenue OFT_2'!$A:$A,"Кол-во операций Эксимер",'Revenue OFT_2'!X:X)+SUMIF('Revenue OFT_2'!$A:$A,"Кол-во операций Витрео",'Revenue OFT_2'!X:X)+SUMIF('Revenue OFT_2'!$A:$A,"Кол-во операций Пресбиопия",'Revenue OFT_2'!X:X))*$D$44</f>
        <v>89800</v>
      </c>
      <c r="AA44" s="561">
        <f>(SUMIF('Revenue OFT_2'!$A:$A,"Кол-во операций Катаракта",'Revenue OFT_2'!Y:Y)+SUMIF('Revenue OFT_2'!$A:$A,"Кол-во операций Эксимер",'Revenue OFT_2'!Y:Y)+SUMIF('Revenue OFT_2'!$A:$A,"Кол-во операций Витрео",'Revenue OFT_2'!Y:Y)+SUMIF('Revenue OFT_2'!$A:$A,"Кол-во операций Пресбиопия",'Revenue OFT_2'!Y:Y))*$D$44</f>
        <v>89800</v>
      </c>
      <c r="AB44" s="561">
        <f>(SUMIF('Revenue OFT_2'!$A:$A,"Кол-во операций Катаракта",'Revenue OFT_2'!Z:Z)+SUMIF('Revenue OFT_2'!$A:$A,"Кол-во операций Эксимер",'Revenue OFT_2'!Z:Z)+SUMIF('Revenue OFT_2'!$A:$A,"Кол-во операций Витрео",'Revenue OFT_2'!Z:Z)+SUMIF('Revenue OFT_2'!$A:$A,"Кол-во операций Пресбиопия",'Revenue OFT_2'!Z:Z))*$D$44</f>
        <v>89800</v>
      </c>
      <c r="AC44" s="561">
        <f>(SUMIF('Revenue OFT_2'!$A:$A,"Кол-во операций Катаракта",'Revenue OFT_2'!AA:AA)+SUMIF('Revenue OFT_2'!$A:$A,"Кол-во операций Эксимер",'Revenue OFT_2'!AA:AA)+SUMIF('Revenue OFT_2'!$A:$A,"Кол-во операций Витрео",'Revenue OFT_2'!AA:AA)+SUMIF('Revenue OFT_2'!$A:$A,"Кол-во операций Пресбиопия",'Revenue OFT_2'!AA:AA))*$D$44</f>
        <v>89800</v>
      </c>
      <c r="AD44" s="561">
        <f>(SUMIF('Revenue OFT_2'!$A:$A,"Кол-во операций Катаракта",'Revenue OFT_2'!AB:AB)+SUMIF('Revenue OFT_2'!$A:$A,"Кол-во операций Эксимер",'Revenue OFT_2'!AB:AB)+SUMIF('Revenue OFT_2'!$A:$A,"Кол-во операций Витрео",'Revenue OFT_2'!AB:AB)+SUMIF('Revenue OFT_2'!$A:$A,"Кол-во операций Пресбиопия",'Revenue OFT_2'!AB:AB))*$D$44</f>
        <v>89800</v>
      </c>
      <c r="AE44" s="561">
        <f>(SUMIF('Revenue OFT_2'!$A:$A,"Кол-во операций Катаракта",'Revenue OFT_2'!AC:AC)+SUMIF('Revenue OFT_2'!$A:$A,"Кол-во операций Эксимер",'Revenue OFT_2'!AC:AC)+SUMIF('Revenue OFT_2'!$A:$A,"Кол-во операций Витрео",'Revenue OFT_2'!AC:AC)+SUMIF('Revenue OFT_2'!$A:$A,"Кол-во операций Пресбиопия",'Revenue OFT_2'!AC:AC))*$D$44</f>
        <v>89800</v>
      </c>
      <c r="AF44" s="561">
        <f>(SUMIF('Revenue OFT_2'!$A:$A,"Кол-во операций Катаракта",'Revenue OFT_2'!AD:AD)+SUMIF('Revenue OFT_2'!$A:$A,"Кол-во операций Эксимер",'Revenue OFT_2'!AD:AD)+SUMIF('Revenue OFT_2'!$A:$A,"Кол-во операций Витрео",'Revenue OFT_2'!AD:AD)+SUMIF('Revenue OFT_2'!$A:$A,"Кол-во операций Пресбиопия",'Revenue OFT_2'!AD:AD))*$D$44</f>
        <v>89800</v>
      </c>
      <c r="AG44" s="561">
        <f>(SUMIF('Revenue OFT_2'!$A:$A,"Кол-во операций Катаракта",'Revenue OFT_2'!AE:AE)+SUMIF('Revenue OFT_2'!$A:$A,"Кол-во операций Эксимер",'Revenue OFT_2'!AE:AE)+SUMIF('Revenue OFT_2'!$A:$A,"Кол-во операций Витрео",'Revenue OFT_2'!AE:AE)+SUMIF('Revenue OFT_2'!$A:$A,"Кол-во операций Пресбиопия",'Revenue OFT_2'!AE:AE))*$D$44</f>
        <v>89800</v>
      </c>
      <c r="AH44" s="561">
        <f>(SUMIF('Revenue OFT_2'!$A:$A,"Кол-во операций Катаракта",'Revenue OFT_2'!AF:AF)+SUMIF('Revenue OFT_2'!$A:$A,"Кол-во операций Эксимер",'Revenue OFT_2'!AF:AF)+SUMIF('Revenue OFT_2'!$A:$A,"Кол-во операций Витрео",'Revenue OFT_2'!AF:AF)+SUMIF('Revenue OFT_2'!$A:$A,"Кол-во операций Пресбиопия",'Revenue OFT_2'!AF:AF))*$D$44</f>
        <v>89800</v>
      </c>
      <c r="AI44" s="561">
        <f>(SUMIF('Revenue OFT_2'!$A:$A,"Кол-во операций Катаракта",'Revenue OFT_2'!AG:AG)+SUMIF('Revenue OFT_2'!$A:$A,"Кол-во операций Эксимер",'Revenue OFT_2'!AG:AG)+SUMIF('Revenue OFT_2'!$A:$A,"Кол-во операций Витрео",'Revenue OFT_2'!AG:AG)+SUMIF('Revenue OFT_2'!$A:$A,"Кол-во операций Пресбиопия",'Revenue OFT_2'!AG:AG))*$D$44</f>
        <v>89800</v>
      </c>
      <c r="AJ44" s="561">
        <f>(SUMIF('Revenue OFT_2'!$A:$A,"Кол-во операций Катаракта",'Revenue OFT_2'!AH:AH)+SUMIF('Revenue OFT_2'!$A:$A,"Кол-во операций Эксимер",'Revenue OFT_2'!AH:AH)+SUMIF('Revenue OFT_2'!$A:$A,"Кол-во операций Витрео",'Revenue OFT_2'!AH:AH)+SUMIF('Revenue OFT_2'!$A:$A,"Кол-во операций Пресбиопия",'Revenue OFT_2'!AH:AH))*$E$44</f>
        <v>115800</v>
      </c>
      <c r="AK44" s="561">
        <f>(SUMIF('Revenue OFT_2'!$A:$A,"Кол-во операций Катаракта",'Revenue OFT_2'!AI:AI)+SUMIF('Revenue OFT_2'!$A:$A,"Кол-во операций Эксимер",'Revenue OFT_2'!AI:AI)+SUMIF('Revenue OFT_2'!$A:$A,"Кол-во операций Витрео",'Revenue OFT_2'!AI:AI)+SUMIF('Revenue OFT_2'!$A:$A,"Кол-во операций Пресбиопия",'Revenue OFT_2'!AI:AI))*$E$44</f>
        <v>115800</v>
      </c>
      <c r="AL44" s="561">
        <f>(SUMIF('Revenue OFT_2'!$A:$A,"Кол-во операций Катаракта",'Revenue OFT_2'!AJ:AJ)+SUMIF('Revenue OFT_2'!$A:$A,"Кол-во операций Эксимер",'Revenue OFT_2'!AJ:AJ)+SUMIF('Revenue OFT_2'!$A:$A,"Кол-во операций Витрео",'Revenue OFT_2'!AJ:AJ)+SUMIF('Revenue OFT_2'!$A:$A,"Кол-во операций Пресбиопия",'Revenue OFT_2'!AJ:AJ))*$E$44</f>
        <v>115800</v>
      </c>
      <c r="AM44" s="561">
        <f>(SUMIF('Revenue OFT_2'!$A:$A,"Кол-во операций Катаракта",'Revenue OFT_2'!AK:AK)+SUMIF('Revenue OFT_2'!$A:$A,"Кол-во операций Эксимер",'Revenue OFT_2'!AK:AK)+SUMIF('Revenue OFT_2'!$A:$A,"Кол-во операций Витрео",'Revenue OFT_2'!AK:AK)+SUMIF('Revenue OFT_2'!$A:$A,"Кол-во операций Пресбиопия",'Revenue OFT_2'!AK:AK))*$E$44</f>
        <v>115800</v>
      </c>
      <c r="AN44" s="561">
        <f>(SUMIF('Revenue OFT_2'!$A:$A,"Кол-во операций Катаракта",'Revenue OFT_2'!AL:AL)+SUMIF('Revenue OFT_2'!$A:$A,"Кол-во операций Эксимер",'Revenue OFT_2'!AL:AL)+SUMIF('Revenue OFT_2'!$A:$A,"Кол-во операций Витрео",'Revenue OFT_2'!AL:AL)+SUMIF('Revenue OFT_2'!$A:$A,"Кол-во операций Пресбиопия",'Revenue OFT_2'!AL:AL))*$E$44</f>
        <v>115800</v>
      </c>
      <c r="AO44" s="561">
        <f>(SUMIF('Revenue OFT_2'!$A:$A,"Кол-во операций Катаракта",'Revenue OFT_2'!AM:AM)+SUMIF('Revenue OFT_2'!$A:$A,"Кол-во операций Эксимер",'Revenue OFT_2'!AM:AM)+SUMIF('Revenue OFT_2'!$A:$A,"Кол-во операций Витрео",'Revenue OFT_2'!AM:AM)+SUMIF('Revenue OFT_2'!$A:$A,"Кол-во операций Пресбиопия",'Revenue OFT_2'!AM:AM))*$E$44</f>
        <v>115800</v>
      </c>
      <c r="AP44" s="561">
        <f>(SUMIF('Revenue OFT_2'!$A:$A,"Кол-во операций Катаракта",'Revenue OFT_2'!AN:AN)+SUMIF('Revenue OFT_2'!$A:$A,"Кол-во операций Эксимер",'Revenue OFT_2'!AN:AN)+SUMIF('Revenue OFT_2'!$A:$A,"Кол-во операций Витрео",'Revenue OFT_2'!AN:AN)+SUMIF('Revenue OFT_2'!$A:$A,"Кол-во операций Пресбиопия",'Revenue OFT_2'!AN:AN))*$E$44</f>
        <v>115800</v>
      </c>
      <c r="AQ44" s="561">
        <f>(SUMIF('Revenue OFT_2'!$A:$A,"Кол-во операций Катаракта",'Revenue OFT_2'!AO:AO)+SUMIF('Revenue OFT_2'!$A:$A,"Кол-во операций Эксимер",'Revenue OFT_2'!AO:AO)+SUMIF('Revenue OFT_2'!$A:$A,"Кол-во операций Витрео",'Revenue OFT_2'!AO:AO)+SUMIF('Revenue OFT_2'!$A:$A,"Кол-во операций Пресбиопия",'Revenue OFT_2'!AO:AO))*$E$44</f>
        <v>115800</v>
      </c>
      <c r="AR44" s="561">
        <f>(SUMIF('Revenue OFT_2'!$A:$A,"Кол-во операций Катаракта",'Revenue OFT_2'!AP:AP)+SUMIF('Revenue OFT_2'!$A:$A,"Кол-во операций Эксимер",'Revenue OFT_2'!AP:AP)+SUMIF('Revenue OFT_2'!$A:$A,"Кол-во операций Витрео",'Revenue OFT_2'!AP:AP)+SUMIF('Revenue OFT_2'!$A:$A,"Кол-во операций Пресбиопия",'Revenue OFT_2'!AP:AP))*$E$44</f>
        <v>115800</v>
      </c>
      <c r="AS44" s="561">
        <f>(SUMIF('Revenue OFT_2'!$A:$A,"Кол-во операций Катаракта",'Revenue OFT_2'!AQ:AQ)+SUMIF('Revenue OFT_2'!$A:$A,"Кол-во операций Эксимер",'Revenue OFT_2'!AQ:AQ)+SUMIF('Revenue OFT_2'!$A:$A,"Кол-во операций Витрео",'Revenue OFT_2'!AQ:AQ)+SUMIF('Revenue OFT_2'!$A:$A,"Кол-во операций Пресбиопия",'Revenue OFT_2'!AQ:AQ))*$E$44</f>
        <v>115800</v>
      </c>
      <c r="AT44" s="561">
        <f>(SUMIF('Revenue OFT_2'!$A:$A,"Кол-во операций Катаракта",'Revenue OFT_2'!AR:AR)+SUMIF('Revenue OFT_2'!$A:$A,"Кол-во операций Эксимер",'Revenue OFT_2'!AR:AR)+SUMIF('Revenue OFT_2'!$A:$A,"Кол-во операций Витрео",'Revenue OFT_2'!AR:AR)+SUMIF('Revenue OFT_2'!$A:$A,"Кол-во операций Пресбиопия",'Revenue OFT_2'!AR:AR))*$E$44</f>
        <v>115800</v>
      </c>
      <c r="AU44" s="561">
        <f>(SUMIF('Revenue OFT_2'!$A:$A,"Кол-во операций Катаракта",'Revenue OFT_2'!AS:AS)+SUMIF('Revenue OFT_2'!$A:$A,"Кол-во операций Эксимер",'Revenue OFT_2'!AS:AS)+SUMIF('Revenue OFT_2'!$A:$A,"Кол-во операций Витрео",'Revenue OFT_2'!AS:AS)+SUMIF('Revenue OFT_2'!$A:$A,"Кол-во операций Пресбиопия",'Revenue OFT_2'!AS:AS))*$E$44</f>
        <v>115800</v>
      </c>
    </row>
    <row r="45" spans="1:48">
      <c r="B45" s="556" t="s">
        <v>217</v>
      </c>
      <c r="J45" s="130"/>
      <c r="K45" s="130"/>
    </row>
    <row r="46" spans="1:48" ht="55.2">
      <c r="C46" s="562" t="s">
        <v>417</v>
      </c>
      <c r="D46" s="563" t="s">
        <v>231</v>
      </c>
      <c r="I46" s="560">
        <f>SUMIF($L$3:$AU$3,$I$3,$L46:$AU46)</f>
        <v>0</v>
      </c>
      <c r="J46" s="564">
        <f>SUMIF($L$3:$AU$3,$J$3,$L46:$AU46)</f>
        <v>0</v>
      </c>
      <c r="K46" s="564">
        <f t="shared" ref="K46" si="342">SUMIF($L$3:$AU$3,$K$3,$L46:$AU46)</f>
        <v>0</v>
      </c>
      <c r="L46" s="561">
        <f>SUM(L47:L81)</f>
        <v>0</v>
      </c>
      <c r="M46" s="561">
        <f t="shared" ref="M46:AU46" si="343">SUM(M47:M81)</f>
        <v>0</v>
      </c>
      <c r="N46" s="561">
        <f t="shared" si="343"/>
        <v>0</v>
      </c>
      <c r="O46" s="561">
        <f t="shared" si="343"/>
        <v>0</v>
      </c>
      <c r="P46" s="561">
        <f t="shared" si="343"/>
        <v>0</v>
      </c>
      <c r="Q46" s="561">
        <f t="shared" si="343"/>
        <v>0</v>
      </c>
      <c r="R46" s="561">
        <f t="shared" si="343"/>
        <v>0</v>
      </c>
      <c r="S46" s="561">
        <f t="shared" si="343"/>
        <v>0</v>
      </c>
      <c r="T46" s="561">
        <f t="shared" si="343"/>
        <v>0</v>
      </c>
      <c r="U46" s="561">
        <f t="shared" si="343"/>
        <v>0</v>
      </c>
      <c r="V46" s="561">
        <f t="shared" si="343"/>
        <v>0</v>
      </c>
      <c r="W46" s="561">
        <f t="shared" si="343"/>
        <v>0</v>
      </c>
      <c r="X46" s="561">
        <f t="shared" si="343"/>
        <v>0</v>
      </c>
      <c r="Y46" s="561">
        <f t="shared" si="343"/>
        <v>0</v>
      </c>
      <c r="Z46" s="561">
        <f t="shared" si="343"/>
        <v>0</v>
      </c>
      <c r="AA46" s="561">
        <f t="shared" si="343"/>
        <v>0</v>
      </c>
      <c r="AB46" s="561">
        <f t="shared" si="343"/>
        <v>0</v>
      </c>
      <c r="AC46" s="561">
        <f t="shared" si="343"/>
        <v>0</v>
      </c>
      <c r="AD46" s="561">
        <f t="shared" si="343"/>
        <v>0</v>
      </c>
      <c r="AE46" s="561">
        <f t="shared" si="343"/>
        <v>0</v>
      </c>
      <c r="AF46" s="561">
        <f t="shared" si="343"/>
        <v>0</v>
      </c>
      <c r="AG46" s="561">
        <f t="shared" si="343"/>
        <v>0</v>
      </c>
      <c r="AH46" s="561">
        <f t="shared" si="343"/>
        <v>0</v>
      </c>
      <c r="AI46" s="561">
        <f t="shared" si="343"/>
        <v>0</v>
      </c>
      <c r="AJ46" s="561">
        <f t="shared" si="343"/>
        <v>0</v>
      </c>
      <c r="AK46" s="561">
        <f t="shared" si="343"/>
        <v>0</v>
      </c>
      <c r="AL46" s="561">
        <f t="shared" si="343"/>
        <v>0</v>
      </c>
      <c r="AM46" s="561">
        <f t="shared" si="343"/>
        <v>0</v>
      </c>
      <c r="AN46" s="561">
        <f t="shared" si="343"/>
        <v>0</v>
      </c>
      <c r="AO46" s="561">
        <f t="shared" si="343"/>
        <v>0</v>
      </c>
      <c r="AP46" s="561">
        <f t="shared" si="343"/>
        <v>0</v>
      </c>
      <c r="AQ46" s="561">
        <f t="shared" si="343"/>
        <v>0</v>
      </c>
      <c r="AR46" s="561">
        <f t="shared" si="343"/>
        <v>0</v>
      </c>
      <c r="AS46" s="561">
        <f t="shared" si="343"/>
        <v>0</v>
      </c>
      <c r="AT46" s="561">
        <f t="shared" si="343"/>
        <v>0</v>
      </c>
      <c r="AU46" s="561">
        <f t="shared" si="343"/>
        <v>0</v>
      </c>
    </row>
    <row r="47" spans="1:48">
      <c r="A47" s="555"/>
      <c r="B47" s="289" t="s">
        <v>303</v>
      </c>
      <c r="C47" s="565" t="s">
        <v>418</v>
      </c>
      <c r="D47" s="566">
        <v>0.1</v>
      </c>
      <c r="J47" s="130"/>
      <c r="K47" s="130"/>
      <c r="L47" s="130">
        <f>$D47*L5</f>
        <v>0</v>
      </c>
      <c r="M47" s="130">
        <f t="shared" ref="M47:AU55" si="344">$D47*M5</f>
        <v>0</v>
      </c>
      <c r="N47" s="130">
        <f t="shared" si="344"/>
        <v>0</v>
      </c>
      <c r="O47" s="130">
        <f t="shared" si="344"/>
        <v>0</v>
      </c>
      <c r="P47" s="130">
        <f t="shared" si="344"/>
        <v>0</v>
      </c>
      <c r="Q47" s="130">
        <f t="shared" si="344"/>
        <v>0</v>
      </c>
      <c r="R47" s="130">
        <f t="shared" si="344"/>
        <v>0</v>
      </c>
      <c r="S47" s="130">
        <f t="shared" si="344"/>
        <v>0</v>
      </c>
      <c r="T47" s="130">
        <f t="shared" si="344"/>
        <v>0</v>
      </c>
      <c r="U47" s="130">
        <f t="shared" si="344"/>
        <v>0</v>
      </c>
      <c r="V47" s="130">
        <f t="shared" si="344"/>
        <v>0</v>
      </c>
      <c r="W47" s="130">
        <f t="shared" si="344"/>
        <v>0</v>
      </c>
      <c r="X47" s="130">
        <f t="shared" si="344"/>
        <v>0</v>
      </c>
      <c r="Y47" s="130">
        <f t="shared" si="344"/>
        <v>0</v>
      </c>
      <c r="Z47" s="130">
        <f t="shared" si="344"/>
        <v>0</v>
      </c>
      <c r="AA47" s="130">
        <f t="shared" si="344"/>
        <v>0</v>
      </c>
      <c r="AB47" s="130">
        <f t="shared" si="344"/>
        <v>0</v>
      </c>
      <c r="AC47" s="130">
        <f t="shared" si="344"/>
        <v>0</v>
      </c>
      <c r="AD47" s="130">
        <f t="shared" si="344"/>
        <v>0</v>
      </c>
      <c r="AE47" s="130">
        <f t="shared" si="344"/>
        <v>0</v>
      </c>
      <c r="AF47" s="130">
        <f t="shared" si="344"/>
        <v>0</v>
      </c>
      <c r="AG47" s="130">
        <f t="shared" si="344"/>
        <v>0</v>
      </c>
      <c r="AH47" s="130">
        <f t="shared" si="344"/>
        <v>0</v>
      </c>
      <c r="AI47" s="130">
        <f t="shared" si="344"/>
        <v>0</v>
      </c>
      <c r="AJ47" s="130">
        <f t="shared" si="344"/>
        <v>0</v>
      </c>
      <c r="AK47" s="130">
        <f t="shared" si="344"/>
        <v>0</v>
      </c>
      <c r="AL47" s="130">
        <f t="shared" si="344"/>
        <v>0</v>
      </c>
      <c r="AM47" s="130">
        <f t="shared" si="344"/>
        <v>0</v>
      </c>
      <c r="AN47" s="130">
        <f t="shared" si="344"/>
        <v>0</v>
      </c>
      <c r="AO47" s="130">
        <f t="shared" si="344"/>
        <v>0</v>
      </c>
      <c r="AP47" s="130">
        <f t="shared" si="344"/>
        <v>0</v>
      </c>
      <c r="AQ47" s="130">
        <f t="shared" si="344"/>
        <v>0</v>
      </c>
      <c r="AR47" s="130">
        <f t="shared" si="344"/>
        <v>0</v>
      </c>
      <c r="AS47" s="130">
        <f t="shared" si="344"/>
        <v>0</v>
      </c>
      <c r="AT47" s="130">
        <f t="shared" si="344"/>
        <v>0</v>
      </c>
      <c r="AU47" s="130">
        <f t="shared" si="344"/>
        <v>0</v>
      </c>
      <c r="AV47" s="130"/>
    </row>
    <row r="48" spans="1:48" ht="20.399999999999999">
      <c r="A48" s="555"/>
      <c r="B48" s="289" t="s">
        <v>372</v>
      </c>
      <c r="C48" s="567" t="s">
        <v>419</v>
      </c>
      <c r="D48" s="568" t="s">
        <v>420</v>
      </c>
      <c r="J48" s="130"/>
      <c r="K48" s="130"/>
      <c r="AV48" s="130"/>
    </row>
    <row r="49" spans="1:48">
      <c r="A49" s="555"/>
      <c r="B49" s="289" t="s">
        <v>372</v>
      </c>
      <c r="C49" s="567" t="s">
        <v>338</v>
      </c>
      <c r="D49" s="565"/>
      <c r="J49" s="130"/>
      <c r="K49" s="130"/>
      <c r="L49" s="130">
        <f t="shared" ref="L49:L64" si="345">$D49*L7</f>
        <v>0</v>
      </c>
      <c r="M49" s="130">
        <f t="shared" si="344"/>
        <v>0</v>
      </c>
      <c r="N49" s="130">
        <f t="shared" si="344"/>
        <v>0</v>
      </c>
      <c r="O49" s="130">
        <f t="shared" si="344"/>
        <v>0</v>
      </c>
      <c r="P49" s="130">
        <f t="shared" si="344"/>
        <v>0</v>
      </c>
      <c r="Q49" s="130">
        <f t="shared" si="344"/>
        <v>0</v>
      </c>
      <c r="R49" s="130">
        <f t="shared" si="344"/>
        <v>0</v>
      </c>
      <c r="S49" s="130">
        <f t="shared" si="344"/>
        <v>0</v>
      </c>
      <c r="T49" s="130">
        <f t="shared" si="344"/>
        <v>0</v>
      </c>
      <c r="U49" s="130">
        <f t="shared" si="344"/>
        <v>0</v>
      </c>
      <c r="V49" s="130">
        <f t="shared" si="344"/>
        <v>0</v>
      </c>
      <c r="W49" s="130">
        <f t="shared" si="344"/>
        <v>0</v>
      </c>
      <c r="X49" s="130">
        <f t="shared" si="344"/>
        <v>0</v>
      </c>
      <c r="Y49" s="130">
        <f t="shared" si="344"/>
        <v>0</v>
      </c>
      <c r="Z49" s="130">
        <f t="shared" si="344"/>
        <v>0</v>
      </c>
      <c r="AA49" s="130">
        <f t="shared" si="344"/>
        <v>0</v>
      </c>
      <c r="AB49" s="130">
        <f t="shared" si="344"/>
        <v>0</v>
      </c>
      <c r="AC49" s="130">
        <f t="shared" si="344"/>
        <v>0</v>
      </c>
      <c r="AD49" s="130">
        <f t="shared" si="344"/>
        <v>0</v>
      </c>
      <c r="AE49" s="130">
        <f t="shared" si="344"/>
        <v>0</v>
      </c>
      <c r="AF49" s="130">
        <f t="shared" si="344"/>
        <v>0</v>
      </c>
      <c r="AG49" s="130">
        <f t="shared" si="344"/>
        <v>0</v>
      </c>
      <c r="AH49" s="130">
        <f t="shared" si="344"/>
        <v>0</v>
      </c>
      <c r="AI49" s="130">
        <f t="shared" si="344"/>
        <v>0</v>
      </c>
      <c r="AJ49" s="130">
        <f t="shared" si="344"/>
        <v>0</v>
      </c>
      <c r="AK49" s="130">
        <f t="shared" si="344"/>
        <v>0</v>
      </c>
      <c r="AL49" s="130">
        <f t="shared" si="344"/>
        <v>0</v>
      </c>
      <c r="AM49" s="130">
        <f t="shared" si="344"/>
        <v>0</v>
      </c>
      <c r="AN49" s="130">
        <f t="shared" si="344"/>
        <v>0</v>
      </c>
      <c r="AO49" s="130">
        <f t="shared" si="344"/>
        <v>0</v>
      </c>
      <c r="AP49" s="130">
        <f t="shared" si="344"/>
        <v>0</v>
      </c>
      <c r="AQ49" s="130">
        <f t="shared" si="344"/>
        <v>0</v>
      </c>
      <c r="AR49" s="130">
        <f t="shared" si="344"/>
        <v>0</v>
      </c>
      <c r="AS49" s="130">
        <f t="shared" si="344"/>
        <v>0</v>
      </c>
      <c r="AT49" s="130">
        <f t="shared" si="344"/>
        <v>0</v>
      </c>
      <c r="AU49" s="130">
        <f t="shared" si="344"/>
        <v>0</v>
      </c>
      <c r="AV49" s="130"/>
    </row>
    <row r="50" spans="1:48">
      <c r="A50" s="555"/>
      <c r="B50" s="289" t="s">
        <v>372</v>
      </c>
      <c r="C50" s="567" t="s">
        <v>338</v>
      </c>
      <c r="D50" s="565"/>
      <c r="J50" s="130"/>
      <c r="K50" s="130"/>
      <c r="L50" s="130">
        <f t="shared" si="345"/>
        <v>0</v>
      </c>
      <c r="M50" s="130">
        <f t="shared" si="344"/>
        <v>0</v>
      </c>
      <c r="N50" s="130">
        <f t="shared" si="344"/>
        <v>0</v>
      </c>
      <c r="O50" s="130">
        <f t="shared" si="344"/>
        <v>0</v>
      </c>
      <c r="P50" s="130">
        <f t="shared" si="344"/>
        <v>0</v>
      </c>
      <c r="Q50" s="130">
        <f t="shared" si="344"/>
        <v>0</v>
      </c>
      <c r="R50" s="130">
        <f t="shared" si="344"/>
        <v>0</v>
      </c>
      <c r="S50" s="130">
        <f t="shared" si="344"/>
        <v>0</v>
      </c>
      <c r="T50" s="130">
        <f t="shared" si="344"/>
        <v>0</v>
      </c>
      <c r="U50" s="130">
        <f t="shared" si="344"/>
        <v>0</v>
      </c>
      <c r="V50" s="130">
        <f t="shared" si="344"/>
        <v>0</v>
      </c>
      <c r="W50" s="130">
        <f t="shared" si="344"/>
        <v>0</v>
      </c>
      <c r="X50" s="130">
        <f t="shared" si="344"/>
        <v>0</v>
      </c>
      <c r="Y50" s="130">
        <f t="shared" si="344"/>
        <v>0</v>
      </c>
      <c r="Z50" s="130">
        <f t="shared" si="344"/>
        <v>0</v>
      </c>
      <c r="AA50" s="130">
        <f t="shared" si="344"/>
        <v>0</v>
      </c>
      <c r="AB50" s="130">
        <f t="shared" si="344"/>
        <v>0</v>
      </c>
      <c r="AC50" s="130">
        <f t="shared" si="344"/>
        <v>0</v>
      </c>
      <c r="AD50" s="130">
        <f t="shared" si="344"/>
        <v>0</v>
      </c>
      <c r="AE50" s="130">
        <f t="shared" si="344"/>
        <v>0</v>
      </c>
      <c r="AF50" s="130">
        <f t="shared" si="344"/>
        <v>0</v>
      </c>
      <c r="AG50" s="130">
        <f t="shared" si="344"/>
        <v>0</v>
      </c>
      <c r="AH50" s="130">
        <f t="shared" si="344"/>
        <v>0</v>
      </c>
      <c r="AI50" s="130">
        <f t="shared" si="344"/>
        <v>0</v>
      </c>
      <c r="AJ50" s="130">
        <f t="shared" si="344"/>
        <v>0</v>
      </c>
      <c r="AK50" s="130">
        <f t="shared" si="344"/>
        <v>0</v>
      </c>
      <c r="AL50" s="130">
        <f t="shared" si="344"/>
        <v>0</v>
      </c>
      <c r="AM50" s="130">
        <f t="shared" si="344"/>
        <v>0</v>
      </c>
      <c r="AN50" s="130">
        <f t="shared" si="344"/>
        <v>0</v>
      </c>
      <c r="AO50" s="130">
        <f t="shared" si="344"/>
        <v>0</v>
      </c>
      <c r="AP50" s="130">
        <f t="shared" si="344"/>
        <v>0</v>
      </c>
      <c r="AQ50" s="130">
        <f t="shared" si="344"/>
        <v>0</v>
      </c>
      <c r="AR50" s="130">
        <f t="shared" si="344"/>
        <v>0</v>
      </c>
      <c r="AS50" s="130">
        <f t="shared" si="344"/>
        <v>0</v>
      </c>
      <c r="AT50" s="130">
        <f t="shared" si="344"/>
        <v>0</v>
      </c>
      <c r="AU50" s="130">
        <f t="shared" si="344"/>
        <v>0</v>
      </c>
      <c r="AV50" s="130"/>
    </row>
    <row r="51" spans="1:48">
      <c r="A51" s="555"/>
      <c r="B51" s="289" t="s">
        <v>382</v>
      </c>
      <c r="C51" s="567" t="s">
        <v>338</v>
      </c>
      <c r="D51" s="565"/>
      <c r="J51" s="130"/>
      <c r="K51" s="130"/>
      <c r="L51" s="130">
        <f t="shared" si="345"/>
        <v>0</v>
      </c>
      <c r="M51" s="130">
        <f t="shared" si="344"/>
        <v>0</v>
      </c>
      <c r="N51" s="130">
        <f t="shared" si="344"/>
        <v>0</v>
      </c>
      <c r="O51" s="130">
        <f t="shared" si="344"/>
        <v>0</v>
      </c>
      <c r="P51" s="130">
        <f t="shared" si="344"/>
        <v>0</v>
      </c>
      <c r="Q51" s="130">
        <f t="shared" si="344"/>
        <v>0</v>
      </c>
      <c r="R51" s="130">
        <f t="shared" si="344"/>
        <v>0</v>
      </c>
      <c r="S51" s="130">
        <f t="shared" si="344"/>
        <v>0</v>
      </c>
      <c r="T51" s="130">
        <f t="shared" si="344"/>
        <v>0</v>
      </c>
      <c r="U51" s="130">
        <f t="shared" si="344"/>
        <v>0</v>
      </c>
      <c r="V51" s="130">
        <f t="shared" si="344"/>
        <v>0</v>
      </c>
      <c r="W51" s="130">
        <f t="shared" si="344"/>
        <v>0</v>
      </c>
      <c r="X51" s="130">
        <f t="shared" si="344"/>
        <v>0</v>
      </c>
      <c r="Y51" s="130">
        <f t="shared" si="344"/>
        <v>0</v>
      </c>
      <c r="Z51" s="130">
        <f t="shared" si="344"/>
        <v>0</v>
      </c>
      <c r="AA51" s="130">
        <f t="shared" si="344"/>
        <v>0</v>
      </c>
      <c r="AB51" s="130">
        <f t="shared" si="344"/>
        <v>0</v>
      </c>
      <c r="AC51" s="130">
        <f t="shared" si="344"/>
        <v>0</v>
      </c>
      <c r="AD51" s="130">
        <f t="shared" si="344"/>
        <v>0</v>
      </c>
      <c r="AE51" s="130">
        <f t="shared" si="344"/>
        <v>0</v>
      </c>
      <c r="AF51" s="130">
        <f t="shared" si="344"/>
        <v>0</v>
      </c>
      <c r="AG51" s="130">
        <f t="shared" si="344"/>
        <v>0</v>
      </c>
      <c r="AH51" s="130">
        <f t="shared" si="344"/>
        <v>0</v>
      </c>
      <c r="AI51" s="130">
        <f t="shared" si="344"/>
        <v>0</v>
      </c>
      <c r="AJ51" s="130">
        <f t="shared" si="344"/>
        <v>0</v>
      </c>
      <c r="AK51" s="130">
        <f t="shared" si="344"/>
        <v>0</v>
      </c>
      <c r="AL51" s="130">
        <f t="shared" si="344"/>
        <v>0</v>
      </c>
      <c r="AM51" s="130">
        <f t="shared" si="344"/>
        <v>0</v>
      </c>
      <c r="AN51" s="130">
        <f t="shared" si="344"/>
        <v>0</v>
      </c>
      <c r="AO51" s="130">
        <f t="shared" si="344"/>
        <v>0</v>
      </c>
      <c r="AP51" s="130">
        <f t="shared" si="344"/>
        <v>0</v>
      </c>
      <c r="AQ51" s="130">
        <f t="shared" si="344"/>
        <v>0</v>
      </c>
      <c r="AR51" s="130">
        <f t="shared" si="344"/>
        <v>0</v>
      </c>
      <c r="AS51" s="130">
        <f t="shared" si="344"/>
        <v>0</v>
      </c>
      <c r="AT51" s="130">
        <f t="shared" si="344"/>
        <v>0</v>
      </c>
      <c r="AU51" s="130">
        <f t="shared" si="344"/>
        <v>0</v>
      </c>
      <c r="AV51" s="130"/>
    </row>
    <row r="52" spans="1:48">
      <c r="A52" s="555"/>
      <c r="B52" s="289" t="s">
        <v>382</v>
      </c>
      <c r="C52" s="567" t="s">
        <v>338</v>
      </c>
      <c r="D52" s="565"/>
      <c r="J52" s="130"/>
      <c r="K52" s="130"/>
      <c r="L52" s="130">
        <f t="shared" si="345"/>
        <v>0</v>
      </c>
      <c r="M52" s="130">
        <f t="shared" si="344"/>
        <v>0</v>
      </c>
      <c r="N52" s="130">
        <f t="shared" si="344"/>
        <v>0</v>
      </c>
      <c r="O52" s="130">
        <f t="shared" si="344"/>
        <v>0</v>
      </c>
      <c r="P52" s="130">
        <f t="shared" si="344"/>
        <v>0</v>
      </c>
      <c r="Q52" s="130">
        <f t="shared" si="344"/>
        <v>0</v>
      </c>
      <c r="R52" s="130">
        <f t="shared" si="344"/>
        <v>0</v>
      </c>
      <c r="S52" s="130">
        <f t="shared" si="344"/>
        <v>0</v>
      </c>
      <c r="T52" s="130">
        <f t="shared" si="344"/>
        <v>0</v>
      </c>
      <c r="U52" s="130">
        <f t="shared" si="344"/>
        <v>0</v>
      </c>
      <c r="V52" s="130">
        <f t="shared" si="344"/>
        <v>0</v>
      </c>
      <c r="W52" s="130">
        <f t="shared" si="344"/>
        <v>0</v>
      </c>
      <c r="X52" s="130">
        <f t="shared" si="344"/>
        <v>0</v>
      </c>
      <c r="Y52" s="130">
        <f t="shared" si="344"/>
        <v>0</v>
      </c>
      <c r="Z52" s="130">
        <f t="shared" si="344"/>
        <v>0</v>
      </c>
      <c r="AA52" s="130">
        <f t="shared" si="344"/>
        <v>0</v>
      </c>
      <c r="AB52" s="130">
        <f t="shared" si="344"/>
        <v>0</v>
      </c>
      <c r="AC52" s="130">
        <f t="shared" si="344"/>
        <v>0</v>
      </c>
      <c r="AD52" s="130">
        <f t="shared" si="344"/>
        <v>0</v>
      </c>
      <c r="AE52" s="130">
        <f t="shared" si="344"/>
        <v>0</v>
      </c>
      <c r="AF52" s="130">
        <f t="shared" si="344"/>
        <v>0</v>
      </c>
      <c r="AG52" s="130">
        <f t="shared" si="344"/>
        <v>0</v>
      </c>
      <c r="AH52" s="130">
        <f t="shared" si="344"/>
        <v>0</v>
      </c>
      <c r="AI52" s="130">
        <f t="shared" si="344"/>
        <v>0</v>
      </c>
      <c r="AJ52" s="130">
        <f t="shared" si="344"/>
        <v>0</v>
      </c>
      <c r="AK52" s="130">
        <f t="shared" si="344"/>
        <v>0</v>
      </c>
      <c r="AL52" s="130">
        <f t="shared" si="344"/>
        <v>0</v>
      </c>
      <c r="AM52" s="130">
        <f t="shared" si="344"/>
        <v>0</v>
      </c>
      <c r="AN52" s="130">
        <f t="shared" si="344"/>
        <v>0</v>
      </c>
      <c r="AO52" s="130">
        <f t="shared" si="344"/>
        <v>0</v>
      </c>
      <c r="AP52" s="130">
        <f t="shared" si="344"/>
        <v>0</v>
      </c>
      <c r="AQ52" s="130">
        <f t="shared" si="344"/>
        <v>0</v>
      </c>
      <c r="AR52" s="130">
        <f t="shared" si="344"/>
        <v>0</v>
      </c>
      <c r="AS52" s="130">
        <f t="shared" si="344"/>
        <v>0</v>
      </c>
      <c r="AT52" s="130">
        <f t="shared" si="344"/>
        <v>0</v>
      </c>
      <c r="AU52" s="130">
        <f t="shared" si="344"/>
        <v>0</v>
      </c>
      <c r="AV52" s="130"/>
    </row>
    <row r="53" spans="1:48">
      <c r="A53" s="555"/>
      <c r="B53" s="289" t="s">
        <v>372</v>
      </c>
      <c r="C53" s="567" t="s">
        <v>338</v>
      </c>
      <c r="D53" s="565"/>
      <c r="J53" s="130"/>
      <c r="K53" s="130"/>
      <c r="L53" s="130">
        <f t="shared" si="345"/>
        <v>0</v>
      </c>
      <c r="M53" s="130">
        <f t="shared" si="344"/>
        <v>0</v>
      </c>
      <c r="N53" s="130">
        <f t="shared" si="344"/>
        <v>0</v>
      </c>
      <c r="O53" s="130">
        <f t="shared" si="344"/>
        <v>0</v>
      </c>
      <c r="P53" s="130">
        <f t="shared" si="344"/>
        <v>0</v>
      </c>
      <c r="Q53" s="130">
        <f t="shared" si="344"/>
        <v>0</v>
      </c>
      <c r="R53" s="130">
        <f t="shared" si="344"/>
        <v>0</v>
      </c>
      <c r="S53" s="130">
        <f t="shared" si="344"/>
        <v>0</v>
      </c>
      <c r="T53" s="130">
        <f t="shared" si="344"/>
        <v>0</v>
      </c>
      <c r="U53" s="130">
        <f t="shared" si="344"/>
        <v>0</v>
      </c>
      <c r="V53" s="130">
        <f t="shared" si="344"/>
        <v>0</v>
      </c>
      <c r="W53" s="130">
        <f t="shared" si="344"/>
        <v>0</v>
      </c>
      <c r="X53" s="130">
        <f t="shared" si="344"/>
        <v>0</v>
      </c>
      <c r="Y53" s="130">
        <f t="shared" si="344"/>
        <v>0</v>
      </c>
      <c r="Z53" s="130">
        <f t="shared" si="344"/>
        <v>0</v>
      </c>
      <c r="AA53" s="130">
        <f t="shared" si="344"/>
        <v>0</v>
      </c>
      <c r="AB53" s="130">
        <f t="shared" si="344"/>
        <v>0</v>
      </c>
      <c r="AC53" s="130">
        <f t="shared" si="344"/>
        <v>0</v>
      </c>
      <c r="AD53" s="130">
        <f t="shared" si="344"/>
        <v>0</v>
      </c>
      <c r="AE53" s="130">
        <f t="shared" si="344"/>
        <v>0</v>
      </c>
      <c r="AF53" s="130">
        <f t="shared" si="344"/>
        <v>0</v>
      </c>
      <c r="AG53" s="130">
        <f t="shared" si="344"/>
        <v>0</v>
      </c>
      <c r="AH53" s="130">
        <f t="shared" si="344"/>
        <v>0</v>
      </c>
      <c r="AI53" s="130">
        <f t="shared" si="344"/>
        <v>0</v>
      </c>
      <c r="AJ53" s="130">
        <f t="shared" si="344"/>
        <v>0</v>
      </c>
      <c r="AK53" s="130">
        <f t="shared" si="344"/>
        <v>0</v>
      </c>
      <c r="AL53" s="130">
        <f t="shared" si="344"/>
        <v>0</v>
      </c>
      <c r="AM53" s="130">
        <f t="shared" si="344"/>
        <v>0</v>
      </c>
      <c r="AN53" s="130">
        <f t="shared" si="344"/>
        <v>0</v>
      </c>
      <c r="AO53" s="130">
        <f t="shared" si="344"/>
        <v>0</v>
      </c>
      <c r="AP53" s="130">
        <f t="shared" si="344"/>
        <v>0</v>
      </c>
      <c r="AQ53" s="130">
        <f t="shared" si="344"/>
        <v>0</v>
      </c>
      <c r="AR53" s="130">
        <f t="shared" si="344"/>
        <v>0</v>
      </c>
      <c r="AS53" s="130">
        <f t="shared" si="344"/>
        <v>0</v>
      </c>
      <c r="AT53" s="130">
        <f t="shared" si="344"/>
        <v>0</v>
      </c>
      <c r="AU53" s="130">
        <f t="shared" si="344"/>
        <v>0</v>
      </c>
      <c r="AV53" s="130"/>
    </row>
    <row r="54" spans="1:48">
      <c r="A54" s="555"/>
      <c r="B54" s="289" t="s">
        <v>372</v>
      </c>
      <c r="C54" s="567" t="s">
        <v>338</v>
      </c>
      <c r="D54" s="565"/>
      <c r="J54" s="130"/>
      <c r="K54" s="130"/>
      <c r="L54" s="130">
        <f t="shared" si="345"/>
        <v>0</v>
      </c>
      <c r="M54" s="130">
        <f t="shared" si="344"/>
        <v>0</v>
      </c>
      <c r="N54" s="130">
        <f t="shared" si="344"/>
        <v>0</v>
      </c>
      <c r="O54" s="130">
        <f t="shared" si="344"/>
        <v>0</v>
      </c>
      <c r="P54" s="130">
        <f t="shared" si="344"/>
        <v>0</v>
      </c>
      <c r="Q54" s="130">
        <f t="shared" si="344"/>
        <v>0</v>
      </c>
      <c r="R54" s="130">
        <f t="shared" si="344"/>
        <v>0</v>
      </c>
      <c r="S54" s="130">
        <f t="shared" si="344"/>
        <v>0</v>
      </c>
      <c r="T54" s="130">
        <f t="shared" si="344"/>
        <v>0</v>
      </c>
      <c r="U54" s="130">
        <f t="shared" si="344"/>
        <v>0</v>
      </c>
      <c r="V54" s="130">
        <f t="shared" si="344"/>
        <v>0</v>
      </c>
      <c r="W54" s="130">
        <f t="shared" si="344"/>
        <v>0</v>
      </c>
      <c r="X54" s="130">
        <f t="shared" si="344"/>
        <v>0</v>
      </c>
      <c r="Y54" s="130">
        <f t="shared" si="344"/>
        <v>0</v>
      </c>
      <c r="Z54" s="130">
        <f t="shared" si="344"/>
        <v>0</v>
      </c>
      <c r="AA54" s="130">
        <f t="shared" si="344"/>
        <v>0</v>
      </c>
      <c r="AB54" s="130">
        <f t="shared" si="344"/>
        <v>0</v>
      </c>
      <c r="AC54" s="130">
        <f t="shared" si="344"/>
        <v>0</v>
      </c>
      <c r="AD54" s="130">
        <f t="shared" si="344"/>
        <v>0</v>
      </c>
      <c r="AE54" s="130">
        <f t="shared" si="344"/>
        <v>0</v>
      </c>
      <c r="AF54" s="130">
        <f t="shared" si="344"/>
        <v>0</v>
      </c>
      <c r="AG54" s="130">
        <f t="shared" si="344"/>
        <v>0</v>
      </c>
      <c r="AH54" s="130">
        <f t="shared" si="344"/>
        <v>0</v>
      </c>
      <c r="AI54" s="130">
        <f t="shared" si="344"/>
        <v>0</v>
      </c>
      <c r="AJ54" s="130">
        <f t="shared" si="344"/>
        <v>0</v>
      </c>
      <c r="AK54" s="130">
        <f t="shared" si="344"/>
        <v>0</v>
      </c>
      <c r="AL54" s="130">
        <f t="shared" si="344"/>
        <v>0</v>
      </c>
      <c r="AM54" s="130">
        <f t="shared" si="344"/>
        <v>0</v>
      </c>
      <c r="AN54" s="130">
        <f t="shared" si="344"/>
        <v>0</v>
      </c>
      <c r="AO54" s="130">
        <f t="shared" si="344"/>
        <v>0</v>
      </c>
      <c r="AP54" s="130">
        <f t="shared" si="344"/>
        <v>0</v>
      </c>
      <c r="AQ54" s="130">
        <f t="shared" si="344"/>
        <v>0</v>
      </c>
      <c r="AR54" s="130">
        <f t="shared" si="344"/>
        <v>0</v>
      </c>
      <c r="AS54" s="130">
        <f t="shared" si="344"/>
        <v>0</v>
      </c>
      <c r="AT54" s="130">
        <f t="shared" si="344"/>
        <v>0</v>
      </c>
      <c r="AU54" s="130">
        <f t="shared" si="344"/>
        <v>0</v>
      </c>
      <c r="AV54" s="130"/>
    </row>
    <row r="55" spans="1:48">
      <c r="A55" s="555"/>
      <c r="B55" s="326" t="s">
        <v>304</v>
      </c>
      <c r="C55" s="567" t="s">
        <v>338</v>
      </c>
      <c r="D55" s="565"/>
      <c r="J55" s="130"/>
      <c r="K55" s="130"/>
      <c r="L55" s="130">
        <f t="shared" si="345"/>
        <v>0</v>
      </c>
      <c r="M55" s="130">
        <f t="shared" si="344"/>
        <v>0</v>
      </c>
      <c r="N55" s="130">
        <f t="shared" si="344"/>
        <v>0</v>
      </c>
      <c r="O55" s="130">
        <f t="shared" si="344"/>
        <v>0</v>
      </c>
      <c r="P55" s="130">
        <f t="shared" si="344"/>
        <v>0</v>
      </c>
      <c r="Q55" s="130">
        <f t="shared" si="344"/>
        <v>0</v>
      </c>
      <c r="R55" s="130">
        <f t="shared" si="344"/>
        <v>0</v>
      </c>
      <c r="S55" s="130">
        <f t="shared" si="344"/>
        <v>0</v>
      </c>
      <c r="T55" s="130">
        <f t="shared" si="344"/>
        <v>0</v>
      </c>
      <c r="U55" s="130">
        <f t="shared" si="344"/>
        <v>0</v>
      </c>
      <c r="V55" s="130">
        <f t="shared" si="344"/>
        <v>0</v>
      </c>
      <c r="W55" s="130">
        <f t="shared" ref="M55:AU62" si="346">$D55*W13</f>
        <v>0</v>
      </c>
      <c r="X55" s="130">
        <f t="shared" si="346"/>
        <v>0</v>
      </c>
      <c r="Y55" s="130">
        <f t="shared" si="346"/>
        <v>0</v>
      </c>
      <c r="Z55" s="130">
        <f t="shared" si="346"/>
        <v>0</v>
      </c>
      <c r="AA55" s="130">
        <f t="shared" si="346"/>
        <v>0</v>
      </c>
      <c r="AB55" s="130">
        <f t="shared" si="346"/>
        <v>0</v>
      </c>
      <c r="AC55" s="130">
        <f t="shared" si="346"/>
        <v>0</v>
      </c>
      <c r="AD55" s="130">
        <f t="shared" si="346"/>
        <v>0</v>
      </c>
      <c r="AE55" s="130">
        <f t="shared" si="346"/>
        <v>0</v>
      </c>
      <c r="AF55" s="130">
        <f t="shared" si="346"/>
        <v>0</v>
      </c>
      <c r="AG55" s="130">
        <f t="shared" si="346"/>
        <v>0</v>
      </c>
      <c r="AH55" s="130">
        <f t="shared" si="346"/>
        <v>0</v>
      </c>
      <c r="AI55" s="130">
        <f t="shared" si="346"/>
        <v>0</v>
      </c>
      <c r="AJ55" s="130">
        <f t="shared" si="346"/>
        <v>0</v>
      </c>
      <c r="AK55" s="130">
        <f t="shared" si="346"/>
        <v>0</v>
      </c>
      <c r="AL55" s="130">
        <f t="shared" si="346"/>
        <v>0</v>
      </c>
      <c r="AM55" s="130">
        <f t="shared" si="346"/>
        <v>0</v>
      </c>
      <c r="AN55" s="130">
        <f t="shared" si="346"/>
        <v>0</v>
      </c>
      <c r="AO55" s="130">
        <f t="shared" si="346"/>
        <v>0</v>
      </c>
      <c r="AP55" s="130">
        <f t="shared" si="346"/>
        <v>0</v>
      </c>
      <c r="AQ55" s="130">
        <f t="shared" si="346"/>
        <v>0</v>
      </c>
      <c r="AR55" s="130">
        <f t="shared" si="346"/>
        <v>0</v>
      </c>
      <c r="AS55" s="130">
        <f t="shared" si="346"/>
        <v>0</v>
      </c>
      <c r="AT55" s="130">
        <f t="shared" si="346"/>
        <v>0</v>
      </c>
      <c r="AU55" s="130">
        <f t="shared" si="346"/>
        <v>0</v>
      </c>
      <c r="AV55" s="130"/>
    </row>
    <row r="56" spans="1:48">
      <c r="A56" s="555"/>
      <c r="B56" s="289" t="s">
        <v>305</v>
      </c>
      <c r="C56" s="567" t="s">
        <v>338</v>
      </c>
      <c r="D56" s="565"/>
      <c r="J56" s="130"/>
      <c r="K56" s="130"/>
      <c r="L56" s="130">
        <f t="shared" si="345"/>
        <v>0</v>
      </c>
      <c r="M56" s="130">
        <f t="shared" si="346"/>
        <v>0</v>
      </c>
      <c r="N56" s="130">
        <f t="shared" si="346"/>
        <v>0</v>
      </c>
      <c r="O56" s="130">
        <f t="shared" si="346"/>
        <v>0</v>
      </c>
      <c r="P56" s="130">
        <f t="shared" si="346"/>
        <v>0</v>
      </c>
      <c r="Q56" s="130">
        <f t="shared" si="346"/>
        <v>0</v>
      </c>
      <c r="R56" s="130">
        <f t="shared" si="346"/>
        <v>0</v>
      </c>
      <c r="S56" s="130">
        <f t="shared" si="346"/>
        <v>0</v>
      </c>
      <c r="T56" s="130">
        <f t="shared" si="346"/>
        <v>0</v>
      </c>
      <c r="U56" s="130">
        <f t="shared" si="346"/>
        <v>0</v>
      </c>
      <c r="V56" s="130">
        <f t="shared" si="346"/>
        <v>0</v>
      </c>
      <c r="W56" s="130">
        <f t="shared" si="346"/>
        <v>0</v>
      </c>
      <c r="X56" s="130">
        <f t="shared" si="346"/>
        <v>0</v>
      </c>
      <c r="Y56" s="130">
        <f t="shared" si="346"/>
        <v>0</v>
      </c>
      <c r="Z56" s="130">
        <f t="shared" si="346"/>
        <v>0</v>
      </c>
      <c r="AA56" s="130">
        <f t="shared" si="346"/>
        <v>0</v>
      </c>
      <c r="AB56" s="130">
        <f t="shared" si="346"/>
        <v>0</v>
      </c>
      <c r="AC56" s="130">
        <f t="shared" si="346"/>
        <v>0</v>
      </c>
      <c r="AD56" s="130">
        <f t="shared" si="346"/>
        <v>0</v>
      </c>
      <c r="AE56" s="130">
        <f t="shared" si="346"/>
        <v>0</v>
      </c>
      <c r="AF56" s="130">
        <f t="shared" si="346"/>
        <v>0</v>
      </c>
      <c r="AG56" s="130">
        <f t="shared" si="346"/>
        <v>0</v>
      </c>
      <c r="AH56" s="130">
        <f t="shared" si="346"/>
        <v>0</v>
      </c>
      <c r="AI56" s="130">
        <f t="shared" si="346"/>
        <v>0</v>
      </c>
      <c r="AJ56" s="130">
        <f t="shared" si="346"/>
        <v>0</v>
      </c>
      <c r="AK56" s="130">
        <f t="shared" si="346"/>
        <v>0</v>
      </c>
      <c r="AL56" s="130">
        <f t="shared" si="346"/>
        <v>0</v>
      </c>
      <c r="AM56" s="130">
        <f t="shared" si="346"/>
        <v>0</v>
      </c>
      <c r="AN56" s="130">
        <f t="shared" si="346"/>
        <v>0</v>
      </c>
      <c r="AO56" s="130">
        <f t="shared" si="346"/>
        <v>0</v>
      </c>
      <c r="AP56" s="130">
        <f t="shared" si="346"/>
        <v>0</v>
      </c>
      <c r="AQ56" s="130">
        <f t="shared" si="346"/>
        <v>0</v>
      </c>
      <c r="AR56" s="130">
        <f t="shared" si="346"/>
        <v>0</v>
      </c>
      <c r="AS56" s="130">
        <f t="shared" si="346"/>
        <v>0</v>
      </c>
      <c r="AT56" s="130">
        <f t="shared" si="346"/>
        <v>0</v>
      </c>
      <c r="AU56" s="130">
        <f t="shared" si="346"/>
        <v>0</v>
      </c>
      <c r="AV56" s="130"/>
    </row>
    <row r="57" spans="1:48">
      <c r="A57" s="555"/>
      <c r="B57" s="289" t="s">
        <v>382</v>
      </c>
      <c r="C57" s="567" t="s">
        <v>338</v>
      </c>
      <c r="D57" s="565"/>
      <c r="J57" s="130"/>
      <c r="K57" s="130"/>
      <c r="L57" s="130">
        <f t="shared" si="345"/>
        <v>0</v>
      </c>
      <c r="M57" s="130">
        <f t="shared" si="346"/>
        <v>0</v>
      </c>
      <c r="N57" s="130">
        <f t="shared" si="346"/>
        <v>0</v>
      </c>
      <c r="O57" s="130">
        <f t="shared" si="346"/>
        <v>0</v>
      </c>
      <c r="P57" s="130">
        <f t="shared" si="346"/>
        <v>0</v>
      </c>
      <c r="Q57" s="130">
        <f t="shared" si="346"/>
        <v>0</v>
      </c>
      <c r="R57" s="130">
        <f t="shared" si="346"/>
        <v>0</v>
      </c>
      <c r="S57" s="130">
        <f t="shared" si="346"/>
        <v>0</v>
      </c>
      <c r="T57" s="130">
        <f t="shared" si="346"/>
        <v>0</v>
      </c>
      <c r="U57" s="130">
        <f t="shared" si="346"/>
        <v>0</v>
      </c>
      <c r="V57" s="130">
        <f t="shared" si="346"/>
        <v>0</v>
      </c>
      <c r="W57" s="130">
        <f t="shared" si="346"/>
        <v>0</v>
      </c>
      <c r="X57" s="130">
        <f t="shared" si="346"/>
        <v>0</v>
      </c>
      <c r="Y57" s="130">
        <f t="shared" si="346"/>
        <v>0</v>
      </c>
      <c r="Z57" s="130">
        <f t="shared" si="346"/>
        <v>0</v>
      </c>
      <c r="AA57" s="130">
        <f t="shared" si="346"/>
        <v>0</v>
      </c>
      <c r="AB57" s="130">
        <f t="shared" si="346"/>
        <v>0</v>
      </c>
      <c r="AC57" s="130">
        <f t="shared" si="346"/>
        <v>0</v>
      </c>
      <c r="AD57" s="130">
        <f t="shared" si="346"/>
        <v>0</v>
      </c>
      <c r="AE57" s="130">
        <f t="shared" si="346"/>
        <v>0</v>
      </c>
      <c r="AF57" s="130">
        <f t="shared" si="346"/>
        <v>0</v>
      </c>
      <c r="AG57" s="130">
        <f t="shared" si="346"/>
        <v>0</v>
      </c>
      <c r="AH57" s="130">
        <f t="shared" si="346"/>
        <v>0</v>
      </c>
      <c r="AI57" s="130">
        <f t="shared" si="346"/>
        <v>0</v>
      </c>
      <c r="AJ57" s="130">
        <f t="shared" si="346"/>
        <v>0</v>
      </c>
      <c r="AK57" s="130">
        <f t="shared" si="346"/>
        <v>0</v>
      </c>
      <c r="AL57" s="130">
        <f t="shared" si="346"/>
        <v>0</v>
      </c>
      <c r="AM57" s="130">
        <f t="shared" si="346"/>
        <v>0</v>
      </c>
      <c r="AN57" s="130">
        <f t="shared" si="346"/>
        <v>0</v>
      </c>
      <c r="AO57" s="130">
        <f t="shared" si="346"/>
        <v>0</v>
      </c>
      <c r="AP57" s="130">
        <f t="shared" si="346"/>
        <v>0</v>
      </c>
      <c r="AQ57" s="130">
        <f t="shared" si="346"/>
        <v>0</v>
      </c>
      <c r="AR57" s="130">
        <f t="shared" si="346"/>
        <v>0</v>
      </c>
      <c r="AS57" s="130">
        <f t="shared" si="346"/>
        <v>0</v>
      </c>
      <c r="AT57" s="130">
        <f t="shared" si="346"/>
        <v>0</v>
      </c>
      <c r="AU57" s="130">
        <f t="shared" si="346"/>
        <v>0</v>
      </c>
      <c r="AV57" s="130"/>
    </row>
    <row r="58" spans="1:48">
      <c r="A58" s="555"/>
      <c r="B58" s="290" t="s">
        <v>373</v>
      </c>
      <c r="C58" s="567" t="s">
        <v>338</v>
      </c>
      <c r="D58" s="565"/>
      <c r="J58" s="130"/>
      <c r="K58" s="130"/>
      <c r="L58" s="130">
        <f t="shared" si="345"/>
        <v>0</v>
      </c>
      <c r="M58" s="130">
        <f t="shared" si="346"/>
        <v>0</v>
      </c>
      <c r="N58" s="130">
        <f t="shared" si="346"/>
        <v>0</v>
      </c>
      <c r="O58" s="130">
        <f t="shared" si="346"/>
        <v>0</v>
      </c>
      <c r="P58" s="130">
        <f t="shared" si="346"/>
        <v>0</v>
      </c>
      <c r="Q58" s="130">
        <f t="shared" si="346"/>
        <v>0</v>
      </c>
      <c r="R58" s="130">
        <f t="shared" si="346"/>
        <v>0</v>
      </c>
      <c r="S58" s="130">
        <f t="shared" si="346"/>
        <v>0</v>
      </c>
      <c r="T58" s="130">
        <f t="shared" si="346"/>
        <v>0</v>
      </c>
      <c r="U58" s="130">
        <f t="shared" si="346"/>
        <v>0</v>
      </c>
      <c r="V58" s="130">
        <f t="shared" si="346"/>
        <v>0</v>
      </c>
      <c r="W58" s="130">
        <f t="shared" si="346"/>
        <v>0</v>
      </c>
      <c r="X58" s="130">
        <f t="shared" si="346"/>
        <v>0</v>
      </c>
      <c r="Y58" s="130">
        <f t="shared" si="346"/>
        <v>0</v>
      </c>
      <c r="Z58" s="130">
        <f t="shared" si="346"/>
        <v>0</v>
      </c>
      <c r="AA58" s="130">
        <f t="shared" si="346"/>
        <v>0</v>
      </c>
      <c r="AB58" s="130">
        <f t="shared" si="346"/>
        <v>0</v>
      </c>
      <c r="AC58" s="130">
        <f t="shared" si="346"/>
        <v>0</v>
      </c>
      <c r="AD58" s="130">
        <f t="shared" si="346"/>
        <v>0</v>
      </c>
      <c r="AE58" s="130">
        <f t="shared" si="346"/>
        <v>0</v>
      </c>
      <c r="AF58" s="130">
        <f t="shared" si="346"/>
        <v>0</v>
      </c>
      <c r="AG58" s="130">
        <f t="shared" si="346"/>
        <v>0</v>
      </c>
      <c r="AH58" s="130">
        <f t="shared" si="346"/>
        <v>0</v>
      </c>
      <c r="AI58" s="130">
        <f t="shared" si="346"/>
        <v>0</v>
      </c>
      <c r="AJ58" s="130">
        <f t="shared" si="346"/>
        <v>0</v>
      </c>
      <c r="AK58" s="130">
        <f t="shared" si="346"/>
        <v>0</v>
      </c>
      <c r="AL58" s="130">
        <f t="shared" si="346"/>
        <v>0</v>
      </c>
      <c r="AM58" s="130">
        <f t="shared" si="346"/>
        <v>0</v>
      </c>
      <c r="AN58" s="130">
        <f t="shared" si="346"/>
        <v>0</v>
      </c>
      <c r="AO58" s="130">
        <f t="shared" si="346"/>
        <v>0</v>
      </c>
      <c r="AP58" s="130">
        <f t="shared" si="346"/>
        <v>0</v>
      </c>
      <c r="AQ58" s="130">
        <f t="shared" si="346"/>
        <v>0</v>
      </c>
      <c r="AR58" s="130">
        <f t="shared" si="346"/>
        <v>0</v>
      </c>
      <c r="AS58" s="130">
        <f t="shared" si="346"/>
        <v>0</v>
      </c>
      <c r="AT58" s="130">
        <f t="shared" si="346"/>
        <v>0</v>
      </c>
      <c r="AU58" s="130">
        <f t="shared" si="346"/>
        <v>0</v>
      </c>
      <c r="AV58" s="130"/>
    </row>
    <row r="59" spans="1:48">
      <c r="A59" s="555"/>
      <c r="B59" s="290" t="s">
        <v>374</v>
      </c>
      <c r="C59" s="567" t="s">
        <v>421</v>
      </c>
      <c r="D59" s="566">
        <v>0.15</v>
      </c>
      <c r="J59" s="130"/>
      <c r="K59" s="130"/>
      <c r="L59" s="130">
        <f t="shared" si="345"/>
        <v>0</v>
      </c>
      <c r="M59" s="130">
        <f t="shared" si="346"/>
        <v>0</v>
      </c>
      <c r="N59" s="130">
        <f t="shared" si="346"/>
        <v>0</v>
      </c>
      <c r="O59" s="130">
        <f t="shared" si="346"/>
        <v>0</v>
      </c>
      <c r="P59" s="130">
        <f t="shared" si="346"/>
        <v>0</v>
      </c>
      <c r="Q59" s="130">
        <f t="shared" si="346"/>
        <v>0</v>
      </c>
      <c r="R59" s="130">
        <f t="shared" si="346"/>
        <v>0</v>
      </c>
      <c r="S59" s="130">
        <f t="shared" si="346"/>
        <v>0</v>
      </c>
      <c r="T59" s="130">
        <f t="shared" si="346"/>
        <v>0</v>
      </c>
      <c r="U59" s="130">
        <f t="shared" si="346"/>
        <v>0</v>
      </c>
      <c r="V59" s="130">
        <f t="shared" si="346"/>
        <v>0</v>
      </c>
      <c r="W59" s="130">
        <f t="shared" si="346"/>
        <v>0</v>
      </c>
      <c r="X59" s="130">
        <f t="shared" si="346"/>
        <v>0</v>
      </c>
      <c r="Y59" s="130">
        <f t="shared" si="346"/>
        <v>0</v>
      </c>
      <c r="Z59" s="130">
        <f t="shared" si="346"/>
        <v>0</v>
      </c>
      <c r="AA59" s="130">
        <f t="shared" si="346"/>
        <v>0</v>
      </c>
      <c r="AB59" s="130">
        <f t="shared" si="346"/>
        <v>0</v>
      </c>
      <c r="AC59" s="130">
        <f t="shared" si="346"/>
        <v>0</v>
      </c>
      <c r="AD59" s="130">
        <f t="shared" si="346"/>
        <v>0</v>
      </c>
      <c r="AE59" s="130">
        <f t="shared" si="346"/>
        <v>0</v>
      </c>
      <c r="AF59" s="130">
        <f t="shared" si="346"/>
        <v>0</v>
      </c>
      <c r="AG59" s="130">
        <f t="shared" si="346"/>
        <v>0</v>
      </c>
      <c r="AH59" s="130">
        <f t="shared" si="346"/>
        <v>0</v>
      </c>
      <c r="AI59" s="130">
        <f t="shared" si="346"/>
        <v>0</v>
      </c>
      <c r="AJ59" s="130">
        <f t="shared" si="346"/>
        <v>0</v>
      </c>
      <c r="AK59" s="130">
        <f t="shared" si="346"/>
        <v>0</v>
      </c>
      <c r="AL59" s="130">
        <f t="shared" si="346"/>
        <v>0</v>
      </c>
      <c r="AM59" s="130">
        <f t="shared" si="346"/>
        <v>0</v>
      </c>
      <c r="AN59" s="130">
        <f t="shared" si="346"/>
        <v>0</v>
      </c>
      <c r="AO59" s="130">
        <f t="shared" si="346"/>
        <v>0</v>
      </c>
      <c r="AP59" s="130">
        <f t="shared" si="346"/>
        <v>0</v>
      </c>
      <c r="AQ59" s="130">
        <f t="shared" si="346"/>
        <v>0</v>
      </c>
      <c r="AR59" s="130">
        <f t="shared" si="346"/>
        <v>0</v>
      </c>
      <c r="AS59" s="130">
        <f t="shared" si="346"/>
        <v>0</v>
      </c>
      <c r="AT59" s="130">
        <f t="shared" si="346"/>
        <v>0</v>
      </c>
      <c r="AU59" s="130">
        <f t="shared" si="346"/>
        <v>0</v>
      </c>
      <c r="AV59" s="130"/>
    </row>
    <row r="60" spans="1:48">
      <c r="A60" s="555"/>
      <c r="B60" s="290" t="s">
        <v>375</v>
      </c>
      <c r="C60" s="565" t="s">
        <v>419</v>
      </c>
      <c r="D60" s="566">
        <v>0.25</v>
      </c>
      <c r="J60" s="130"/>
      <c r="K60" s="130"/>
      <c r="L60" s="130">
        <f t="shared" si="345"/>
        <v>0</v>
      </c>
      <c r="M60" s="130">
        <f t="shared" si="346"/>
        <v>0</v>
      </c>
      <c r="N60" s="130">
        <f t="shared" si="346"/>
        <v>0</v>
      </c>
      <c r="O60" s="130">
        <f t="shared" si="346"/>
        <v>0</v>
      </c>
      <c r="P60" s="130">
        <f t="shared" si="346"/>
        <v>0</v>
      </c>
      <c r="Q60" s="130">
        <f t="shared" si="346"/>
        <v>0</v>
      </c>
      <c r="R60" s="130">
        <f t="shared" si="346"/>
        <v>0</v>
      </c>
      <c r="S60" s="130">
        <f t="shared" si="346"/>
        <v>0</v>
      </c>
      <c r="T60" s="130">
        <f t="shared" si="346"/>
        <v>0</v>
      </c>
      <c r="U60" s="130">
        <f t="shared" si="346"/>
        <v>0</v>
      </c>
      <c r="V60" s="130">
        <f t="shared" si="346"/>
        <v>0</v>
      </c>
      <c r="W60" s="130">
        <f t="shared" si="346"/>
        <v>0</v>
      </c>
      <c r="X60" s="130">
        <f t="shared" si="346"/>
        <v>0</v>
      </c>
      <c r="Y60" s="130">
        <f t="shared" si="346"/>
        <v>0</v>
      </c>
      <c r="Z60" s="130">
        <f t="shared" si="346"/>
        <v>0</v>
      </c>
      <c r="AA60" s="130">
        <f t="shared" si="346"/>
        <v>0</v>
      </c>
      <c r="AB60" s="130">
        <f t="shared" si="346"/>
        <v>0</v>
      </c>
      <c r="AC60" s="130">
        <f t="shared" si="346"/>
        <v>0</v>
      </c>
      <c r="AD60" s="130">
        <f t="shared" si="346"/>
        <v>0</v>
      </c>
      <c r="AE60" s="130">
        <f t="shared" si="346"/>
        <v>0</v>
      </c>
      <c r="AF60" s="130">
        <f t="shared" si="346"/>
        <v>0</v>
      </c>
      <c r="AG60" s="130">
        <f t="shared" si="346"/>
        <v>0</v>
      </c>
      <c r="AH60" s="130">
        <f t="shared" si="346"/>
        <v>0</v>
      </c>
      <c r="AI60" s="130">
        <f t="shared" si="346"/>
        <v>0</v>
      </c>
      <c r="AJ60" s="130">
        <f t="shared" si="346"/>
        <v>0</v>
      </c>
      <c r="AK60" s="130">
        <f t="shared" si="346"/>
        <v>0</v>
      </c>
      <c r="AL60" s="130">
        <f t="shared" si="346"/>
        <v>0</v>
      </c>
      <c r="AM60" s="130">
        <f t="shared" si="346"/>
        <v>0</v>
      </c>
      <c r="AN60" s="130">
        <f t="shared" si="346"/>
        <v>0</v>
      </c>
      <c r="AO60" s="130">
        <f t="shared" si="346"/>
        <v>0</v>
      </c>
      <c r="AP60" s="130">
        <f t="shared" si="346"/>
        <v>0</v>
      </c>
      <c r="AQ60" s="130">
        <f t="shared" si="346"/>
        <v>0</v>
      </c>
      <c r="AR60" s="130">
        <f t="shared" si="346"/>
        <v>0</v>
      </c>
      <c r="AS60" s="130">
        <f t="shared" si="346"/>
        <v>0</v>
      </c>
      <c r="AT60" s="130">
        <f t="shared" si="346"/>
        <v>0</v>
      </c>
      <c r="AU60" s="130">
        <f t="shared" si="346"/>
        <v>0</v>
      </c>
      <c r="AV60" s="130"/>
    </row>
    <row r="61" spans="1:48">
      <c r="A61" s="555"/>
      <c r="B61" s="290" t="s">
        <v>375</v>
      </c>
      <c r="C61" s="565" t="s">
        <v>419</v>
      </c>
      <c r="D61" s="566">
        <v>0.25</v>
      </c>
      <c r="J61" s="130"/>
      <c r="K61" s="130"/>
      <c r="L61" s="130">
        <f t="shared" si="345"/>
        <v>0</v>
      </c>
      <c r="M61" s="130">
        <f t="shared" si="346"/>
        <v>0</v>
      </c>
      <c r="N61" s="130">
        <f t="shared" si="346"/>
        <v>0</v>
      </c>
      <c r="O61" s="130">
        <f t="shared" si="346"/>
        <v>0</v>
      </c>
      <c r="P61" s="130">
        <f t="shared" si="346"/>
        <v>0</v>
      </c>
      <c r="Q61" s="130">
        <f t="shared" si="346"/>
        <v>0</v>
      </c>
      <c r="R61" s="130">
        <f t="shared" si="346"/>
        <v>0</v>
      </c>
      <c r="S61" s="130">
        <f t="shared" si="346"/>
        <v>0</v>
      </c>
      <c r="T61" s="130">
        <f t="shared" si="346"/>
        <v>0</v>
      </c>
      <c r="U61" s="130">
        <f t="shared" si="346"/>
        <v>0</v>
      </c>
      <c r="V61" s="130">
        <f t="shared" si="346"/>
        <v>0</v>
      </c>
      <c r="W61" s="130">
        <f t="shared" si="346"/>
        <v>0</v>
      </c>
      <c r="X61" s="130">
        <f t="shared" si="346"/>
        <v>0</v>
      </c>
      <c r="Y61" s="130">
        <f t="shared" si="346"/>
        <v>0</v>
      </c>
      <c r="Z61" s="130">
        <f t="shared" si="346"/>
        <v>0</v>
      </c>
      <c r="AA61" s="130">
        <f t="shared" si="346"/>
        <v>0</v>
      </c>
      <c r="AB61" s="130">
        <f t="shared" si="346"/>
        <v>0</v>
      </c>
      <c r="AC61" s="130">
        <f t="shared" si="346"/>
        <v>0</v>
      </c>
      <c r="AD61" s="130">
        <f t="shared" si="346"/>
        <v>0</v>
      </c>
      <c r="AE61" s="130">
        <f t="shared" si="346"/>
        <v>0</v>
      </c>
      <c r="AF61" s="130">
        <f t="shared" si="346"/>
        <v>0</v>
      </c>
      <c r="AG61" s="130">
        <f t="shared" si="346"/>
        <v>0</v>
      </c>
      <c r="AH61" s="130">
        <f t="shared" si="346"/>
        <v>0</v>
      </c>
      <c r="AI61" s="130">
        <f t="shared" si="346"/>
        <v>0</v>
      </c>
      <c r="AJ61" s="130">
        <f t="shared" si="346"/>
        <v>0</v>
      </c>
      <c r="AK61" s="130">
        <f t="shared" si="346"/>
        <v>0</v>
      </c>
      <c r="AL61" s="130">
        <f t="shared" si="346"/>
        <v>0</v>
      </c>
      <c r="AM61" s="130">
        <f t="shared" si="346"/>
        <v>0</v>
      </c>
      <c r="AN61" s="130">
        <f t="shared" si="346"/>
        <v>0</v>
      </c>
      <c r="AO61" s="130">
        <f t="shared" si="346"/>
        <v>0</v>
      </c>
      <c r="AP61" s="130">
        <f t="shared" si="346"/>
        <v>0</v>
      </c>
      <c r="AQ61" s="130">
        <f t="shared" si="346"/>
        <v>0</v>
      </c>
      <c r="AR61" s="130">
        <f t="shared" si="346"/>
        <v>0</v>
      </c>
      <c r="AS61" s="130">
        <f t="shared" si="346"/>
        <v>0</v>
      </c>
      <c r="AT61" s="130">
        <f t="shared" si="346"/>
        <v>0</v>
      </c>
      <c r="AU61" s="130">
        <f t="shared" si="346"/>
        <v>0</v>
      </c>
      <c r="AV61" s="130"/>
    </row>
    <row r="62" spans="1:48">
      <c r="A62" s="555"/>
      <c r="B62" s="290" t="s">
        <v>375</v>
      </c>
      <c r="C62" s="565" t="s">
        <v>419</v>
      </c>
      <c r="D62" s="566">
        <v>0.25</v>
      </c>
      <c r="J62" s="130"/>
      <c r="K62" s="130"/>
      <c r="L62" s="130">
        <f t="shared" si="345"/>
        <v>0</v>
      </c>
      <c r="M62" s="130">
        <f t="shared" si="346"/>
        <v>0</v>
      </c>
      <c r="N62" s="130">
        <f t="shared" si="346"/>
        <v>0</v>
      </c>
      <c r="O62" s="130">
        <f t="shared" si="346"/>
        <v>0</v>
      </c>
      <c r="P62" s="130">
        <f t="shared" si="346"/>
        <v>0</v>
      </c>
      <c r="Q62" s="130">
        <f t="shared" si="346"/>
        <v>0</v>
      </c>
      <c r="R62" s="130">
        <f t="shared" si="346"/>
        <v>0</v>
      </c>
      <c r="S62" s="130">
        <f t="shared" si="346"/>
        <v>0</v>
      </c>
      <c r="T62" s="130">
        <f t="shared" si="346"/>
        <v>0</v>
      </c>
      <c r="U62" s="130">
        <f t="shared" si="346"/>
        <v>0</v>
      </c>
      <c r="V62" s="130">
        <f t="shared" si="346"/>
        <v>0</v>
      </c>
      <c r="W62" s="130">
        <f t="shared" si="346"/>
        <v>0</v>
      </c>
      <c r="X62" s="130">
        <f t="shared" si="346"/>
        <v>0</v>
      </c>
      <c r="Y62" s="130">
        <f t="shared" si="346"/>
        <v>0</v>
      </c>
      <c r="Z62" s="130">
        <f t="shared" si="346"/>
        <v>0</v>
      </c>
      <c r="AA62" s="130">
        <f t="shared" si="346"/>
        <v>0</v>
      </c>
      <c r="AB62" s="130">
        <f t="shared" si="346"/>
        <v>0</v>
      </c>
      <c r="AC62" s="130">
        <f t="shared" si="346"/>
        <v>0</v>
      </c>
      <c r="AD62" s="130">
        <f t="shared" si="346"/>
        <v>0</v>
      </c>
      <c r="AE62" s="130">
        <f t="shared" si="346"/>
        <v>0</v>
      </c>
      <c r="AF62" s="130">
        <f t="shared" si="346"/>
        <v>0</v>
      </c>
      <c r="AG62" s="130">
        <f t="shared" ref="M62:AU69" si="347">$D62*AG20</f>
        <v>0</v>
      </c>
      <c r="AH62" s="130">
        <f t="shared" si="347"/>
        <v>0</v>
      </c>
      <c r="AI62" s="130">
        <f t="shared" si="347"/>
        <v>0</v>
      </c>
      <c r="AJ62" s="130">
        <f t="shared" si="347"/>
        <v>0</v>
      </c>
      <c r="AK62" s="130">
        <f t="shared" si="347"/>
        <v>0</v>
      </c>
      <c r="AL62" s="130">
        <f t="shared" si="347"/>
        <v>0</v>
      </c>
      <c r="AM62" s="130">
        <f t="shared" si="347"/>
        <v>0</v>
      </c>
      <c r="AN62" s="130">
        <f t="shared" si="347"/>
        <v>0</v>
      </c>
      <c r="AO62" s="130">
        <f t="shared" si="347"/>
        <v>0</v>
      </c>
      <c r="AP62" s="130">
        <f t="shared" si="347"/>
        <v>0</v>
      </c>
      <c r="AQ62" s="130">
        <f t="shared" si="347"/>
        <v>0</v>
      </c>
      <c r="AR62" s="130">
        <f t="shared" si="347"/>
        <v>0</v>
      </c>
      <c r="AS62" s="130">
        <f t="shared" si="347"/>
        <v>0</v>
      </c>
      <c r="AT62" s="130">
        <f t="shared" si="347"/>
        <v>0</v>
      </c>
      <c r="AU62" s="130">
        <f t="shared" si="347"/>
        <v>0</v>
      </c>
      <c r="AV62" s="130"/>
    </row>
    <row r="63" spans="1:48">
      <c r="A63" s="555"/>
      <c r="B63" s="290" t="s">
        <v>375</v>
      </c>
      <c r="C63" s="565" t="s">
        <v>419</v>
      </c>
      <c r="D63" s="566">
        <v>0.25</v>
      </c>
      <c r="J63" s="130"/>
      <c r="K63" s="130"/>
      <c r="L63" s="130">
        <f t="shared" si="345"/>
        <v>0</v>
      </c>
      <c r="M63" s="130">
        <f t="shared" si="347"/>
        <v>0</v>
      </c>
      <c r="N63" s="130">
        <f t="shared" si="347"/>
        <v>0</v>
      </c>
      <c r="O63" s="130">
        <f t="shared" si="347"/>
        <v>0</v>
      </c>
      <c r="P63" s="130">
        <f t="shared" si="347"/>
        <v>0</v>
      </c>
      <c r="Q63" s="130">
        <f t="shared" si="347"/>
        <v>0</v>
      </c>
      <c r="R63" s="130">
        <f t="shared" si="347"/>
        <v>0</v>
      </c>
      <c r="S63" s="130">
        <f t="shared" si="347"/>
        <v>0</v>
      </c>
      <c r="T63" s="130">
        <f t="shared" si="347"/>
        <v>0</v>
      </c>
      <c r="U63" s="130">
        <f t="shared" si="347"/>
        <v>0</v>
      </c>
      <c r="V63" s="130">
        <f t="shared" si="347"/>
        <v>0</v>
      </c>
      <c r="W63" s="130">
        <f t="shared" si="347"/>
        <v>0</v>
      </c>
      <c r="X63" s="130">
        <f t="shared" si="347"/>
        <v>0</v>
      </c>
      <c r="Y63" s="130">
        <f t="shared" si="347"/>
        <v>0</v>
      </c>
      <c r="Z63" s="130">
        <f t="shared" si="347"/>
        <v>0</v>
      </c>
      <c r="AA63" s="130">
        <f t="shared" si="347"/>
        <v>0</v>
      </c>
      <c r="AB63" s="130">
        <f t="shared" si="347"/>
        <v>0</v>
      </c>
      <c r="AC63" s="130">
        <f t="shared" si="347"/>
        <v>0</v>
      </c>
      <c r="AD63" s="130">
        <f t="shared" si="347"/>
        <v>0</v>
      </c>
      <c r="AE63" s="130">
        <f t="shared" si="347"/>
        <v>0</v>
      </c>
      <c r="AF63" s="130">
        <f t="shared" si="347"/>
        <v>0</v>
      </c>
      <c r="AG63" s="130">
        <f t="shared" si="347"/>
        <v>0</v>
      </c>
      <c r="AH63" s="130">
        <f t="shared" si="347"/>
        <v>0</v>
      </c>
      <c r="AI63" s="130">
        <f t="shared" si="347"/>
        <v>0</v>
      </c>
      <c r="AJ63" s="130">
        <f t="shared" si="347"/>
        <v>0</v>
      </c>
      <c r="AK63" s="130">
        <f t="shared" si="347"/>
        <v>0</v>
      </c>
      <c r="AL63" s="130">
        <f t="shared" si="347"/>
        <v>0</v>
      </c>
      <c r="AM63" s="130">
        <f t="shared" si="347"/>
        <v>0</v>
      </c>
      <c r="AN63" s="130">
        <f t="shared" si="347"/>
        <v>0</v>
      </c>
      <c r="AO63" s="130">
        <f t="shared" si="347"/>
        <v>0</v>
      </c>
      <c r="AP63" s="130">
        <f t="shared" si="347"/>
        <v>0</v>
      </c>
      <c r="AQ63" s="130">
        <f t="shared" si="347"/>
        <v>0</v>
      </c>
      <c r="AR63" s="130">
        <f t="shared" si="347"/>
        <v>0</v>
      </c>
      <c r="AS63" s="130">
        <f t="shared" si="347"/>
        <v>0</v>
      </c>
      <c r="AT63" s="130">
        <f t="shared" si="347"/>
        <v>0</v>
      </c>
      <c r="AU63" s="130">
        <f t="shared" si="347"/>
        <v>0</v>
      </c>
      <c r="AV63" s="130"/>
    </row>
    <row r="64" spans="1:48">
      <c r="A64" s="555"/>
      <c r="B64" s="290" t="s">
        <v>375</v>
      </c>
      <c r="C64" s="565" t="s">
        <v>419</v>
      </c>
      <c r="D64" s="566">
        <v>0.25</v>
      </c>
      <c r="J64" s="130"/>
      <c r="K64" s="130"/>
      <c r="L64" s="130">
        <f t="shared" si="345"/>
        <v>0</v>
      </c>
      <c r="M64" s="130">
        <f t="shared" si="347"/>
        <v>0</v>
      </c>
      <c r="N64" s="130">
        <f t="shared" si="347"/>
        <v>0</v>
      </c>
      <c r="O64" s="130">
        <f t="shared" si="347"/>
        <v>0</v>
      </c>
      <c r="P64" s="130">
        <f t="shared" si="347"/>
        <v>0</v>
      </c>
      <c r="Q64" s="130">
        <f t="shared" si="347"/>
        <v>0</v>
      </c>
      <c r="R64" s="130">
        <f t="shared" si="347"/>
        <v>0</v>
      </c>
      <c r="S64" s="130">
        <f t="shared" si="347"/>
        <v>0</v>
      </c>
      <c r="T64" s="130">
        <f t="shared" si="347"/>
        <v>0</v>
      </c>
      <c r="U64" s="130">
        <f t="shared" si="347"/>
        <v>0</v>
      </c>
      <c r="V64" s="130">
        <f t="shared" si="347"/>
        <v>0</v>
      </c>
      <c r="W64" s="130">
        <f t="shared" si="347"/>
        <v>0</v>
      </c>
      <c r="X64" s="130">
        <f t="shared" si="347"/>
        <v>0</v>
      </c>
      <c r="Y64" s="130">
        <f t="shared" si="347"/>
        <v>0</v>
      </c>
      <c r="Z64" s="130">
        <f t="shared" si="347"/>
        <v>0</v>
      </c>
      <c r="AA64" s="130">
        <f t="shared" si="347"/>
        <v>0</v>
      </c>
      <c r="AB64" s="130">
        <f t="shared" si="347"/>
        <v>0</v>
      </c>
      <c r="AC64" s="130">
        <f t="shared" si="347"/>
        <v>0</v>
      </c>
      <c r="AD64" s="130">
        <f t="shared" si="347"/>
        <v>0</v>
      </c>
      <c r="AE64" s="130">
        <f t="shared" si="347"/>
        <v>0</v>
      </c>
      <c r="AF64" s="130">
        <f t="shared" si="347"/>
        <v>0</v>
      </c>
      <c r="AG64" s="130">
        <f t="shared" si="347"/>
        <v>0</v>
      </c>
      <c r="AH64" s="130">
        <f t="shared" si="347"/>
        <v>0</v>
      </c>
      <c r="AI64" s="130">
        <f t="shared" si="347"/>
        <v>0</v>
      </c>
      <c r="AJ64" s="130">
        <f t="shared" si="347"/>
        <v>0</v>
      </c>
      <c r="AK64" s="130">
        <f t="shared" si="347"/>
        <v>0</v>
      </c>
      <c r="AL64" s="130">
        <f t="shared" si="347"/>
        <v>0</v>
      </c>
      <c r="AM64" s="130">
        <f t="shared" si="347"/>
        <v>0</v>
      </c>
      <c r="AN64" s="130">
        <f t="shared" si="347"/>
        <v>0</v>
      </c>
      <c r="AO64" s="130">
        <f t="shared" si="347"/>
        <v>0</v>
      </c>
      <c r="AP64" s="130">
        <f t="shared" si="347"/>
        <v>0</v>
      </c>
      <c r="AQ64" s="130">
        <f t="shared" si="347"/>
        <v>0</v>
      </c>
      <c r="AR64" s="130">
        <f t="shared" si="347"/>
        <v>0</v>
      </c>
      <c r="AS64" s="130">
        <f t="shared" si="347"/>
        <v>0</v>
      </c>
      <c r="AT64" s="130">
        <f t="shared" si="347"/>
        <v>0</v>
      </c>
      <c r="AU64" s="130">
        <f t="shared" si="347"/>
        <v>0</v>
      </c>
      <c r="AV64" s="130"/>
    </row>
    <row r="65" spans="1:48">
      <c r="A65" s="555"/>
      <c r="B65" s="290" t="s">
        <v>375</v>
      </c>
      <c r="C65" s="565" t="s">
        <v>419</v>
      </c>
      <c r="D65" s="566">
        <v>0.25</v>
      </c>
      <c r="J65" s="130"/>
      <c r="K65" s="130"/>
      <c r="L65" s="130">
        <f t="shared" ref="L65:AA80" si="348">$D65*L23</f>
        <v>0</v>
      </c>
      <c r="M65" s="130">
        <f t="shared" si="347"/>
        <v>0</v>
      </c>
      <c r="N65" s="130">
        <f t="shared" si="347"/>
        <v>0</v>
      </c>
      <c r="O65" s="130">
        <f t="shared" si="347"/>
        <v>0</v>
      </c>
      <c r="P65" s="130">
        <f t="shared" si="347"/>
        <v>0</v>
      </c>
      <c r="Q65" s="130">
        <f t="shared" si="347"/>
        <v>0</v>
      </c>
      <c r="R65" s="130">
        <f t="shared" si="347"/>
        <v>0</v>
      </c>
      <c r="S65" s="130">
        <f t="shared" si="347"/>
        <v>0</v>
      </c>
      <c r="T65" s="130">
        <f t="shared" si="347"/>
        <v>0</v>
      </c>
      <c r="U65" s="130">
        <f t="shared" si="347"/>
        <v>0</v>
      </c>
      <c r="V65" s="130">
        <f t="shared" si="347"/>
        <v>0</v>
      </c>
      <c r="W65" s="130">
        <f t="shared" si="347"/>
        <v>0</v>
      </c>
      <c r="X65" s="130">
        <f t="shared" si="347"/>
        <v>0</v>
      </c>
      <c r="Y65" s="130">
        <f t="shared" si="347"/>
        <v>0</v>
      </c>
      <c r="Z65" s="130">
        <f t="shared" si="347"/>
        <v>0</v>
      </c>
      <c r="AA65" s="130">
        <f t="shared" si="347"/>
        <v>0</v>
      </c>
      <c r="AB65" s="130">
        <f t="shared" si="347"/>
        <v>0</v>
      </c>
      <c r="AC65" s="130">
        <f t="shared" si="347"/>
        <v>0</v>
      </c>
      <c r="AD65" s="130">
        <f t="shared" si="347"/>
        <v>0</v>
      </c>
      <c r="AE65" s="130">
        <f t="shared" si="347"/>
        <v>0</v>
      </c>
      <c r="AF65" s="130">
        <f t="shared" si="347"/>
        <v>0</v>
      </c>
      <c r="AG65" s="130">
        <f t="shared" si="347"/>
        <v>0</v>
      </c>
      <c r="AH65" s="130">
        <f t="shared" si="347"/>
        <v>0</v>
      </c>
      <c r="AI65" s="130">
        <f t="shared" si="347"/>
        <v>0</v>
      </c>
      <c r="AJ65" s="130">
        <f t="shared" si="347"/>
        <v>0</v>
      </c>
      <c r="AK65" s="130">
        <f t="shared" si="347"/>
        <v>0</v>
      </c>
      <c r="AL65" s="130">
        <f t="shared" si="347"/>
        <v>0</v>
      </c>
      <c r="AM65" s="130">
        <f t="shared" si="347"/>
        <v>0</v>
      </c>
      <c r="AN65" s="130">
        <f t="shared" si="347"/>
        <v>0</v>
      </c>
      <c r="AO65" s="130">
        <f t="shared" si="347"/>
        <v>0</v>
      </c>
      <c r="AP65" s="130">
        <f t="shared" si="347"/>
        <v>0</v>
      </c>
      <c r="AQ65" s="130">
        <f t="shared" si="347"/>
        <v>0</v>
      </c>
      <c r="AR65" s="130">
        <f t="shared" si="347"/>
        <v>0</v>
      </c>
      <c r="AS65" s="130">
        <f t="shared" si="347"/>
        <v>0</v>
      </c>
      <c r="AT65" s="130">
        <f t="shared" si="347"/>
        <v>0</v>
      </c>
      <c r="AU65" s="130">
        <f t="shared" si="347"/>
        <v>0</v>
      </c>
      <c r="AV65" s="130"/>
    </row>
    <row r="66" spans="1:48">
      <c r="A66" s="555"/>
      <c r="B66" s="290" t="s">
        <v>375</v>
      </c>
      <c r="C66" s="565" t="s">
        <v>419</v>
      </c>
      <c r="D66" s="566">
        <v>0.25</v>
      </c>
      <c r="J66" s="130"/>
      <c r="K66" s="130"/>
      <c r="L66" s="130">
        <f t="shared" si="348"/>
        <v>0</v>
      </c>
      <c r="M66" s="130">
        <f t="shared" si="347"/>
        <v>0</v>
      </c>
      <c r="N66" s="130">
        <f t="shared" si="347"/>
        <v>0</v>
      </c>
      <c r="O66" s="130">
        <f t="shared" si="347"/>
        <v>0</v>
      </c>
      <c r="P66" s="130">
        <f t="shared" si="347"/>
        <v>0</v>
      </c>
      <c r="Q66" s="130">
        <f t="shared" si="347"/>
        <v>0</v>
      </c>
      <c r="R66" s="130">
        <f t="shared" si="347"/>
        <v>0</v>
      </c>
      <c r="S66" s="130">
        <f t="shared" si="347"/>
        <v>0</v>
      </c>
      <c r="T66" s="130">
        <f t="shared" si="347"/>
        <v>0</v>
      </c>
      <c r="U66" s="130">
        <f t="shared" si="347"/>
        <v>0</v>
      </c>
      <c r="V66" s="130">
        <f t="shared" si="347"/>
        <v>0</v>
      </c>
      <c r="W66" s="130">
        <f t="shared" si="347"/>
        <v>0</v>
      </c>
      <c r="X66" s="130">
        <f t="shared" si="347"/>
        <v>0</v>
      </c>
      <c r="Y66" s="130">
        <f t="shared" si="347"/>
        <v>0</v>
      </c>
      <c r="Z66" s="130">
        <f t="shared" si="347"/>
        <v>0</v>
      </c>
      <c r="AA66" s="130">
        <f t="shared" si="347"/>
        <v>0</v>
      </c>
      <c r="AB66" s="130">
        <f t="shared" si="347"/>
        <v>0</v>
      </c>
      <c r="AC66" s="130">
        <f t="shared" si="347"/>
        <v>0</v>
      </c>
      <c r="AD66" s="130">
        <f t="shared" si="347"/>
        <v>0</v>
      </c>
      <c r="AE66" s="130">
        <f t="shared" si="347"/>
        <v>0</v>
      </c>
      <c r="AF66" s="130">
        <f t="shared" si="347"/>
        <v>0</v>
      </c>
      <c r="AG66" s="130">
        <f t="shared" si="347"/>
        <v>0</v>
      </c>
      <c r="AH66" s="130">
        <f t="shared" si="347"/>
        <v>0</v>
      </c>
      <c r="AI66" s="130">
        <f t="shared" si="347"/>
        <v>0</v>
      </c>
      <c r="AJ66" s="130">
        <f t="shared" si="347"/>
        <v>0</v>
      </c>
      <c r="AK66" s="130">
        <f t="shared" si="347"/>
        <v>0</v>
      </c>
      <c r="AL66" s="130">
        <f t="shared" si="347"/>
        <v>0</v>
      </c>
      <c r="AM66" s="130">
        <f t="shared" si="347"/>
        <v>0</v>
      </c>
      <c r="AN66" s="130">
        <f t="shared" si="347"/>
        <v>0</v>
      </c>
      <c r="AO66" s="130">
        <f t="shared" si="347"/>
        <v>0</v>
      </c>
      <c r="AP66" s="130">
        <f t="shared" si="347"/>
        <v>0</v>
      </c>
      <c r="AQ66" s="130">
        <f t="shared" si="347"/>
        <v>0</v>
      </c>
      <c r="AR66" s="130">
        <f t="shared" si="347"/>
        <v>0</v>
      </c>
      <c r="AS66" s="130">
        <f t="shared" si="347"/>
        <v>0</v>
      </c>
      <c r="AT66" s="130">
        <f t="shared" si="347"/>
        <v>0</v>
      </c>
      <c r="AU66" s="130">
        <f t="shared" si="347"/>
        <v>0</v>
      </c>
      <c r="AV66" s="130"/>
    </row>
    <row r="67" spans="1:48">
      <c r="A67" s="555"/>
      <c r="B67" s="290" t="s">
        <v>375</v>
      </c>
      <c r="C67" s="565" t="s">
        <v>419</v>
      </c>
      <c r="D67" s="566">
        <v>0.25</v>
      </c>
      <c r="J67" s="130"/>
      <c r="K67" s="130"/>
      <c r="L67" s="130">
        <f t="shared" si="348"/>
        <v>0</v>
      </c>
      <c r="M67" s="130">
        <f t="shared" si="347"/>
        <v>0</v>
      </c>
      <c r="N67" s="130">
        <f t="shared" si="347"/>
        <v>0</v>
      </c>
      <c r="O67" s="130">
        <f t="shared" si="347"/>
        <v>0</v>
      </c>
      <c r="P67" s="130">
        <f t="shared" si="347"/>
        <v>0</v>
      </c>
      <c r="Q67" s="130">
        <f t="shared" si="347"/>
        <v>0</v>
      </c>
      <c r="R67" s="130">
        <f t="shared" si="347"/>
        <v>0</v>
      </c>
      <c r="S67" s="130">
        <f t="shared" si="347"/>
        <v>0</v>
      </c>
      <c r="T67" s="130">
        <f t="shared" si="347"/>
        <v>0</v>
      </c>
      <c r="U67" s="130">
        <f t="shared" si="347"/>
        <v>0</v>
      </c>
      <c r="V67" s="130">
        <f t="shared" si="347"/>
        <v>0</v>
      </c>
      <c r="W67" s="130">
        <f t="shared" si="347"/>
        <v>0</v>
      </c>
      <c r="X67" s="130">
        <f t="shared" si="347"/>
        <v>0</v>
      </c>
      <c r="Y67" s="130">
        <f t="shared" si="347"/>
        <v>0</v>
      </c>
      <c r="Z67" s="130">
        <f t="shared" si="347"/>
        <v>0</v>
      </c>
      <c r="AA67" s="130">
        <f t="shared" si="347"/>
        <v>0</v>
      </c>
      <c r="AB67" s="130">
        <f t="shared" si="347"/>
        <v>0</v>
      </c>
      <c r="AC67" s="130">
        <f t="shared" si="347"/>
        <v>0</v>
      </c>
      <c r="AD67" s="130">
        <f t="shared" si="347"/>
        <v>0</v>
      </c>
      <c r="AE67" s="130">
        <f t="shared" si="347"/>
        <v>0</v>
      </c>
      <c r="AF67" s="130">
        <f t="shared" si="347"/>
        <v>0</v>
      </c>
      <c r="AG67" s="130">
        <f t="shared" si="347"/>
        <v>0</v>
      </c>
      <c r="AH67" s="130">
        <f t="shared" si="347"/>
        <v>0</v>
      </c>
      <c r="AI67" s="130">
        <f t="shared" si="347"/>
        <v>0</v>
      </c>
      <c r="AJ67" s="130">
        <f t="shared" si="347"/>
        <v>0</v>
      </c>
      <c r="AK67" s="130">
        <f t="shared" si="347"/>
        <v>0</v>
      </c>
      <c r="AL67" s="130">
        <f t="shared" si="347"/>
        <v>0</v>
      </c>
      <c r="AM67" s="130">
        <f t="shared" si="347"/>
        <v>0</v>
      </c>
      <c r="AN67" s="130">
        <f t="shared" si="347"/>
        <v>0</v>
      </c>
      <c r="AO67" s="130">
        <f t="shared" si="347"/>
        <v>0</v>
      </c>
      <c r="AP67" s="130">
        <f t="shared" si="347"/>
        <v>0</v>
      </c>
      <c r="AQ67" s="130">
        <f t="shared" si="347"/>
        <v>0</v>
      </c>
      <c r="AR67" s="130">
        <f t="shared" si="347"/>
        <v>0</v>
      </c>
      <c r="AS67" s="130">
        <f t="shared" si="347"/>
        <v>0</v>
      </c>
      <c r="AT67" s="130">
        <f t="shared" si="347"/>
        <v>0</v>
      </c>
      <c r="AU67" s="130">
        <f t="shared" si="347"/>
        <v>0</v>
      </c>
      <c r="AV67" s="130"/>
    </row>
    <row r="68" spans="1:48">
      <c r="A68" s="555"/>
      <c r="B68" s="290" t="s">
        <v>375</v>
      </c>
      <c r="C68" s="565" t="s">
        <v>419</v>
      </c>
      <c r="D68" s="566">
        <v>0.25</v>
      </c>
      <c r="J68" s="130"/>
      <c r="K68" s="130"/>
      <c r="L68" s="130">
        <f t="shared" si="348"/>
        <v>0</v>
      </c>
      <c r="M68" s="130">
        <f t="shared" si="347"/>
        <v>0</v>
      </c>
      <c r="N68" s="130">
        <f t="shared" si="347"/>
        <v>0</v>
      </c>
      <c r="O68" s="130">
        <f t="shared" si="347"/>
        <v>0</v>
      </c>
      <c r="P68" s="130">
        <f t="shared" si="347"/>
        <v>0</v>
      </c>
      <c r="Q68" s="130">
        <f t="shared" si="347"/>
        <v>0</v>
      </c>
      <c r="R68" s="130">
        <f t="shared" si="347"/>
        <v>0</v>
      </c>
      <c r="S68" s="130">
        <f t="shared" si="347"/>
        <v>0</v>
      </c>
      <c r="T68" s="130">
        <f t="shared" si="347"/>
        <v>0</v>
      </c>
      <c r="U68" s="130">
        <f t="shared" si="347"/>
        <v>0</v>
      </c>
      <c r="V68" s="130">
        <f t="shared" si="347"/>
        <v>0</v>
      </c>
      <c r="W68" s="130">
        <f t="shared" si="347"/>
        <v>0</v>
      </c>
      <c r="X68" s="130">
        <f t="shared" si="347"/>
        <v>0</v>
      </c>
      <c r="Y68" s="130">
        <f t="shared" si="347"/>
        <v>0</v>
      </c>
      <c r="Z68" s="130">
        <f t="shared" si="347"/>
        <v>0</v>
      </c>
      <c r="AA68" s="130">
        <f t="shared" si="347"/>
        <v>0</v>
      </c>
      <c r="AB68" s="130">
        <f t="shared" si="347"/>
        <v>0</v>
      </c>
      <c r="AC68" s="130">
        <f t="shared" si="347"/>
        <v>0</v>
      </c>
      <c r="AD68" s="130">
        <f t="shared" si="347"/>
        <v>0</v>
      </c>
      <c r="AE68" s="130">
        <f t="shared" si="347"/>
        <v>0</v>
      </c>
      <c r="AF68" s="130">
        <f t="shared" si="347"/>
        <v>0</v>
      </c>
      <c r="AG68" s="130">
        <f t="shared" si="347"/>
        <v>0</v>
      </c>
      <c r="AH68" s="130">
        <f t="shared" si="347"/>
        <v>0</v>
      </c>
      <c r="AI68" s="130">
        <f t="shared" si="347"/>
        <v>0</v>
      </c>
      <c r="AJ68" s="130">
        <f t="shared" si="347"/>
        <v>0</v>
      </c>
      <c r="AK68" s="130">
        <f t="shared" si="347"/>
        <v>0</v>
      </c>
      <c r="AL68" s="130">
        <f t="shared" si="347"/>
        <v>0</v>
      </c>
      <c r="AM68" s="130">
        <f t="shared" si="347"/>
        <v>0</v>
      </c>
      <c r="AN68" s="130">
        <f t="shared" si="347"/>
        <v>0</v>
      </c>
      <c r="AO68" s="130">
        <f t="shared" si="347"/>
        <v>0</v>
      </c>
      <c r="AP68" s="130">
        <f t="shared" si="347"/>
        <v>0</v>
      </c>
      <c r="AQ68" s="130">
        <f t="shared" si="347"/>
        <v>0</v>
      </c>
      <c r="AR68" s="130">
        <f t="shared" si="347"/>
        <v>0</v>
      </c>
      <c r="AS68" s="130">
        <f t="shared" si="347"/>
        <v>0</v>
      </c>
      <c r="AT68" s="130">
        <f t="shared" si="347"/>
        <v>0</v>
      </c>
      <c r="AU68" s="130">
        <f t="shared" si="347"/>
        <v>0</v>
      </c>
      <c r="AV68" s="130"/>
    </row>
    <row r="69" spans="1:48">
      <c r="A69" s="555"/>
      <c r="B69" s="290" t="s">
        <v>375</v>
      </c>
      <c r="C69" s="565" t="s">
        <v>419</v>
      </c>
      <c r="D69" s="566">
        <v>0.25</v>
      </c>
      <c r="J69" s="130"/>
      <c r="K69" s="130"/>
      <c r="L69" s="130">
        <f t="shared" si="348"/>
        <v>0</v>
      </c>
      <c r="M69" s="130">
        <f t="shared" si="347"/>
        <v>0</v>
      </c>
      <c r="N69" s="130">
        <f t="shared" si="347"/>
        <v>0</v>
      </c>
      <c r="O69" s="130">
        <f t="shared" si="347"/>
        <v>0</v>
      </c>
      <c r="P69" s="130">
        <f t="shared" si="347"/>
        <v>0</v>
      </c>
      <c r="Q69" s="130">
        <f t="shared" si="347"/>
        <v>0</v>
      </c>
      <c r="R69" s="130">
        <f t="shared" si="347"/>
        <v>0</v>
      </c>
      <c r="S69" s="130">
        <f t="shared" si="347"/>
        <v>0</v>
      </c>
      <c r="T69" s="130">
        <f t="shared" si="347"/>
        <v>0</v>
      </c>
      <c r="U69" s="130">
        <f t="shared" si="347"/>
        <v>0</v>
      </c>
      <c r="V69" s="130">
        <f t="shared" si="347"/>
        <v>0</v>
      </c>
      <c r="W69" s="130">
        <f t="shared" si="347"/>
        <v>0</v>
      </c>
      <c r="X69" s="130">
        <f t="shared" si="347"/>
        <v>0</v>
      </c>
      <c r="Y69" s="130">
        <f t="shared" si="347"/>
        <v>0</v>
      </c>
      <c r="Z69" s="130">
        <f t="shared" si="347"/>
        <v>0</v>
      </c>
      <c r="AA69" s="130">
        <f t="shared" si="347"/>
        <v>0</v>
      </c>
      <c r="AB69" s="130">
        <f t="shared" si="347"/>
        <v>0</v>
      </c>
      <c r="AC69" s="130">
        <f t="shared" si="347"/>
        <v>0</v>
      </c>
      <c r="AD69" s="130">
        <f t="shared" si="347"/>
        <v>0</v>
      </c>
      <c r="AE69" s="130">
        <f t="shared" si="347"/>
        <v>0</v>
      </c>
      <c r="AF69" s="130">
        <f t="shared" si="347"/>
        <v>0</v>
      </c>
      <c r="AG69" s="130">
        <f t="shared" si="347"/>
        <v>0</v>
      </c>
      <c r="AH69" s="130">
        <f t="shared" si="347"/>
        <v>0</v>
      </c>
      <c r="AI69" s="130">
        <f t="shared" si="347"/>
        <v>0</v>
      </c>
      <c r="AJ69" s="130">
        <f t="shared" si="347"/>
        <v>0</v>
      </c>
      <c r="AK69" s="130">
        <f t="shared" si="347"/>
        <v>0</v>
      </c>
      <c r="AL69" s="130">
        <f t="shared" si="347"/>
        <v>0</v>
      </c>
      <c r="AM69" s="130">
        <f t="shared" si="347"/>
        <v>0</v>
      </c>
      <c r="AN69" s="130">
        <f t="shared" si="347"/>
        <v>0</v>
      </c>
      <c r="AO69" s="130">
        <f t="shared" si="347"/>
        <v>0</v>
      </c>
      <c r="AP69" s="130">
        <f t="shared" si="347"/>
        <v>0</v>
      </c>
      <c r="AQ69" s="130">
        <f t="shared" ref="AQ69:AU69" si="349">$D69*AQ27</f>
        <v>0</v>
      </c>
      <c r="AR69" s="130">
        <f t="shared" si="349"/>
        <v>0</v>
      </c>
      <c r="AS69" s="130">
        <f t="shared" si="349"/>
        <v>0</v>
      </c>
      <c r="AT69" s="130">
        <f t="shared" si="349"/>
        <v>0</v>
      </c>
      <c r="AU69" s="130">
        <f t="shared" si="349"/>
        <v>0</v>
      </c>
      <c r="AV69" s="130"/>
    </row>
    <row r="70" spans="1:48">
      <c r="A70" s="555"/>
      <c r="B70" s="290" t="s">
        <v>306</v>
      </c>
      <c r="C70" s="565" t="s">
        <v>338</v>
      </c>
      <c r="D70" s="565"/>
      <c r="J70" s="130"/>
      <c r="K70" s="130"/>
      <c r="L70" s="130">
        <f t="shared" si="348"/>
        <v>0</v>
      </c>
      <c r="M70" s="130">
        <f t="shared" si="348"/>
        <v>0</v>
      </c>
      <c r="N70" s="130">
        <f t="shared" si="348"/>
        <v>0</v>
      </c>
      <c r="O70" s="130">
        <f t="shared" si="348"/>
        <v>0</v>
      </c>
      <c r="P70" s="130">
        <f t="shared" si="348"/>
        <v>0</v>
      </c>
      <c r="Q70" s="130">
        <f t="shared" si="348"/>
        <v>0</v>
      </c>
      <c r="R70" s="130">
        <f t="shared" si="348"/>
        <v>0</v>
      </c>
      <c r="S70" s="130">
        <f t="shared" si="348"/>
        <v>0</v>
      </c>
      <c r="T70" s="130">
        <f t="shared" si="348"/>
        <v>0</v>
      </c>
      <c r="U70" s="130">
        <f t="shared" si="348"/>
        <v>0</v>
      </c>
      <c r="V70" s="130">
        <f t="shared" si="348"/>
        <v>0</v>
      </c>
      <c r="W70" s="130">
        <f t="shared" si="348"/>
        <v>0</v>
      </c>
      <c r="X70" s="130">
        <f t="shared" si="348"/>
        <v>0</v>
      </c>
      <c r="Y70" s="130">
        <f t="shared" si="348"/>
        <v>0</v>
      </c>
      <c r="Z70" s="130">
        <f t="shared" si="348"/>
        <v>0</v>
      </c>
      <c r="AA70" s="130">
        <f t="shared" si="348"/>
        <v>0</v>
      </c>
      <c r="AB70" s="130">
        <f t="shared" ref="M70:AU77" si="350">$D70*AB28</f>
        <v>0</v>
      </c>
      <c r="AC70" s="130">
        <f t="shared" si="350"/>
        <v>0</v>
      </c>
      <c r="AD70" s="130">
        <f t="shared" si="350"/>
        <v>0</v>
      </c>
      <c r="AE70" s="130">
        <f t="shared" si="350"/>
        <v>0</v>
      </c>
      <c r="AF70" s="130">
        <f t="shared" si="350"/>
        <v>0</v>
      </c>
      <c r="AG70" s="130">
        <f t="shared" si="350"/>
        <v>0</v>
      </c>
      <c r="AH70" s="130">
        <f t="shared" si="350"/>
        <v>0</v>
      </c>
      <c r="AI70" s="130">
        <f t="shared" si="350"/>
        <v>0</v>
      </c>
      <c r="AJ70" s="130">
        <f t="shared" si="350"/>
        <v>0</v>
      </c>
      <c r="AK70" s="130">
        <f t="shared" si="350"/>
        <v>0</v>
      </c>
      <c r="AL70" s="130">
        <f t="shared" si="350"/>
        <v>0</v>
      </c>
      <c r="AM70" s="130">
        <f t="shared" si="350"/>
        <v>0</v>
      </c>
      <c r="AN70" s="130">
        <f t="shared" si="350"/>
        <v>0</v>
      </c>
      <c r="AO70" s="130">
        <f t="shared" si="350"/>
        <v>0</v>
      </c>
      <c r="AP70" s="130">
        <f t="shared" si="350"/>
        <v>0</v>
      </c>
      <c r="AQ70" s="130">
        <f t="shared" si="350"/>
        <v>0</v>
      </c>
      <c r="AR70" s="130">
        <f t="shared" si="350"/>
        <v>0</v>
      </c>
      <c r="AS70" s="130">
        <f t="shared" si="350"/>
        <v>0</v>
      </c>
      <c r="AT70" s="130">
        <f t="shared" si="350"/>
        <v>0</v>
      </c>
      <c r="AU70" s="130">
        <f t="shared" si="350"/>
        <v>0</v>
      </c>
      <c r="AV70" s="130"/>
    </row>
    <row r="71" spans="1:48">
      <c r="A71" s="555"/>
      <c r="B71" s="290" t="s">
        <v>307</v>
      </c>
      <c r="C71" s="565" t="s">
        <v>338</v>
      </c>
      <c r="D71" s="565"/>
      <c r="J71" s="130"/>
      <c r="K71" s="130"/>
      <c r="L71" s="130">
        <f t="shared" si="348"/>
        <v>0</v>
      </c>
      <c r="M71" s="130">
        <f t="shared" si="350"/>
        <v>0</v>
      </c>
      <c r="N71" s="130">
        <f t="shared" si="350"/>
        <v>0</v>
      </c>
      <c r="O71" s="130">
        <f t="shared" si="350"/>
        <v>0</v>
      </c>
      <c r="P71" s="130">
        <f t="shared" si="350"/>
        <v>0</v>
      </c>
      <c r="Q71" s="130">
        <f t="shared" si="350"/>
        <v>0</v>
      </c>
      <c r="R71" s="130">
        <f t="shared" si="350"/>
        <v>0</v>
      </c>
      <c r="S71" s="130">
        <f t="shared" si="350"/>
        <v>0</v>
      </c>
      <c r="T71" s="130">
        <f t="shared" si="350"/>
        <v>0</v>
      </c>
      <c r="U71" s="130">
        <f t="shared" si="350"/>
        <v>0</v>
      </c>
      <c r="V71" s="130">
        <f t="shared" si="350"/>
        <v>0</v>
      </c>
      <c r="W71" s="130">
        <f t="shared" si="350"/>
        <v>0</v>
      </c>
      <c r="X71" s="130">
        <f t="shared" si="350"/>
        <v>0</v>
      </c>
      <c r="Y71" s="130">
        <f t="shared" si="350"/>
        <v>0</v>
      </c>
      <c r="Z71" s="130">
        <f t="shared" si="350"/>
        <v>0</v>
      </c>
      <c r="AA71" s="130">
        <f t="shared" si="350"/>
        <v>0</v>
      </c>
      <c r="AB71" s="130">
        <f t="shared" si="350"/>
        <v>0</v>
      </c>
      <c r="AC71" s="130">
        <f t="shared" si="350"/>
        <v>0</v>
      </c>
      <c r="AD71" s="130">
        <f t="shared" si="350"/>
        <v>0</v>
      </c>
      <c r="AE71" s="130">
        <f t="shared" si="350"/>
        <v>0</v>
      </c>
      <c r="AF71" s="130">
        <f t="shared" si="350"/>
        <v>0</v>
      </c>
      <c r="AG71" s="130">
        <f t="shared" si="350"/>
        <v>0</v>
      </c>
      <c r="AH71" s="130">
        <f t="shared" si="350"/>
        <v>0</v>
      </c>
      <c r="AI71" s="130">
        <f t="shared" si="350"/>
        <v>0</v>
      </c>
      <c r="AJ71" s="130">
        <f t="shared" si="350"/>
        <v>0</v>
      </c>
      <c r="AK71" s="130">
        <f t="shared" si="350"/>
        <v>0</v>
      </c>
      <c r="AL71" s="130">
        <f t="shared" si="350"/>
        <v>0</v>
      </c>
      <c r="AM71" s="130">
        <f t="shared" si="350"/>
        <v>0</v>
      </c>
      <c r="AN71" s="130">
        <f t="shared" si="350"/>
        <v>0</v>
      </c>
      <c r="AO71" s="130">
        <f t="shared" si="350"/>
        <v>0</v>
      </c>
      <c r="AP71" s="130">
        <f t="shared" si="350"/>
        <v>0</v>
      </c>
      <c r="AQ71" s="130">
        <f t="shared" si="350"/>
        <v>0</v>
      </c>
      <c r="AR71" s="130">
        <f t="shared" si="350"/>
        <v>0</v>
      </c>
      <c r="AS71" s="130">
        <f t="shared" si="350"/>
        <v>0</v>
      </c>
      <c r="AT71" s="130">
        <f t="shared" si="350"/>
        <v>0</v>
      </c>
      <c r="AU71" s="130">
        <f t="shared" si="350"/>
        <v>0</v>
      </c>
      <c r="AV71" s="130"/>
    </row>
    <row r="72" spans="1:48">
      <c r="A72" s="555"/>
      <c r="B72" s="290" t="s">
        <v>387</v>
      </c>
      <c r="C72" s="569" t="s">
        <v>338</v>
      </c>
      <c r="D72" s="565"/>
      <c r="J72" s="130"/>
      <c r="K72" s="130"/>
      <c r="L72" s="130">
        <f t="shared" si="348"/>
        <v>0</v>
      </c>
      <c r="M72" s="130">
        <f t="shared" si="350"/>
        <v>0</v>
      </c>
      <c r="N72" s="130">
        <f t="shared" si="350"/>
        <v>0</v>
      </c>
      <c r="O72" s="130">
        <f t="shared" si="350"/>
        <v>0</v>
      </c>
      <c r="P72" s="130">
        <f t="shared" si="350"/>
        <v>0</v>
      </c>
      <c r="Q72" s="130">
        <f t="shared" si="350"/>
        <v>0</v>
      </c>
      <c r="R72" s="130">
        <f t="shared" si="350"/>
        <v>0</v>
      </c>
      <c r="S72" s="130">
        <f t="shared" si="350"/>
        <v>0</v>
      </c>
      <c r="T72" s="130">
        <f t="shared" si="350"/>
        <v>0</v>
      </c>
      <c r="U72" s="130">
        <f t="shared" si="350"/>
        <v>0</v>
      </c>
      <c r="V72" s="130">
        <f t="shared" si="350"/>
        <v>0</v>
      </c>
      <c r="W72" s="130">
        <f t="shared" si="350"/>
        <v>0</v>
      </c>
      <c r="X72" s="130">
        <f t="shared" si="350"/>
        <v>0</v>
      </c>
      <c r="Y72" s="130">
        <f t="shared" si="350"/>
        <v>0</v>
      </c>
      <c r="Z72" s="130">
        <f t="shared" si="350"/>
        <v>0</v>
      </c>
      <c r="AA72" s="130">
        <f t="shared" si="350"/>
        <v>0</v>
      </c>
      <c r="AB72" s="130">
        <f t="shared" si="350"/>
        <v>0</v>
      </c>
      <c r="AC72" s="130">
        <f t="shared" si="350"/>
        <v>0</v>
      </c>
      <c r="AD72" s="130">
        <f t="shared" si="350"/>
        <v>0</v>
      </c>
      <c r="AE72" s="130">
        <f t="shared" si="350"/>
        <v>0</v>
      </c>
      <c r="AF72" s="130">
        <f t="shared" si="350"/>
        <v>0</v>
      </c>
      <c r="AG72" s="130">
        <f t="shared" si="350"/>
        <v>0</v>
      </c>
      <c r="AH72" s="130">
        <f t="shared" si="350"/>
        <v>0</v>
      </c>
      <c r="AI72" s="130">
        <f t="shared" si="350"/>
        <v>0</v>
      </c>
      <c r="AJ72" s="130">
        <f t="shared" si="350"/>
        <v>0</v>
      </c>
      <c r="AK72" s="130">
        <f t="shared" si="350"/>
        <v>0</v>
      </c>
      <c r="AL72" s="130">
        <f t="shared" si="350"/>
        <v>0</v>
      </c>
      <c r="AM72" s="130">
        <f t="shared" si="350"/>
        <v>0</v>
      </c>
      <c r="AN72" s="130">
        <f t="shared" si="350"/>
        <v>0</v>
      </c>
      <c r="AO72" s="130">
        <f t="shared" si="350"/>
        <v>0</v>
      </c>
      <c r="AP72" s="130">
        <f t="shared" si="350"/>
        <v>0</v>
      </c>
      <c r="AQ72" s="130">
        <f t="shared" si="350"/>
        <v>0</v>
      </c>
      <c r="AR72" s="130">
        <f t="shared" si="350"/>
        <v>0</v>
      </c>
      <c r="AS72" s="130">
        <f t="shared" si="350"/>
        <v>0</v>
      </c>
      <c r="AT72" s="130">
        <f t="shared" si="350"/>
        <v>0</v>
      </c>
      <c r="AU72" s="130">
        <f t="shared" si="350"/>
        <v>0</v>
      </c>
      <c r="AV72" s="130"/>
    </row>
    <row r="73" spans="1:48">
      <c r="A73" s="555"/>
      <c r="B73" s="290" t="s">
        <v>391</v>
      </c>
      <c r="C73" s="565" t="s">
        <v>419</v>
      </c>
      <c r="D73" s="566">
        <v>0.25</v>
      </c>
      <c r="J73" s="130"/>
      <c r="K73" s="130"/>
      <c r="L73" s="130">
        <f t="shared" si="348"/>
        <v>0</v>
      </c>
      <c r="M73" s="130">
        <f t="shared" si="350"/>
        <v>0</v>
      </c>
      <c r="N73" s="130">
        <f t="shared" si="350"/>
        <v>0</v>
      </c>
      <c r="O73" s="130">
        <f t="shared" si="350"/>
        <v>0</v>
      </c>
      <c r="P73" s="130">
        <f t="shared" si="350"/>
        <v>0</v>
      </c>
      <c r="Q73" s="130">
        <f t="shared" si="350"/>
        <v>0</v>
      </c>
      <c r="R73" s="130">
        <f t="shared" si="350"/>
        <v>0</v>
      </c>
      <c r="S73" s="130">
        <f t="shared" si="350"/>
        <v>0</v>
      </c>
      <c r="T73" s="130">
        <f t="shared" si="350"/>
        <v>0</v>
      </c>
      <c r="U73" s="130">
        <f t="shared" si="350"/>
        <v>0</v>
      </c>
      <c r="V73" s="130">
        <f t="shared" si="350"/>
        <v>0</v>
      </c>
      <c r="W73" s="130">
        <f t="shared" si="350"/>
        <v>0</v>
      </c>
      <c r="X73" s="130">
        <f t="shared" si="350"/>
        <v>0</v>
      </c>
      <c r="Y73" s="130">
        <f t="shared" si="350"/>
        <v>0</v>
      </c>
      <c r="Z73" s="130">
        <f t="shared" si="350"/>
        <v>0</v>
      </c>
      <c r="AA73" s="130">
        <f t="shared" si="350"/>
        <v>0</v>
      </c>
      <c r="AB73" s="130">
        <f t="shared" si="350"/>
        <v>0</v>
      </c>
      <c r="AC73" s="130">
        <f t="shared" si="350"/>
        <v>0</v>
      </c>
      <c r="AD73" s="130">
        <f t="shared" si="350"/>
        <v>0</v>
      </c>
      <c r="AE73" s="130">
        <f t="shared" si="350"/>
        <v>0</v>
      </c>
      <c r="AF73" s="130">
        <f t="shared" si="350"/>
        <v>0</v>
      </c>
      <c r="AG73" s="130">
        <f t="shared" si="350"/>
        <v>0</v>
      </c>
      <c r="AH73" s="130">
        <f t="shared" si="350"/>
        <v>0</v>
      </c>
      <c r="AI73" s="130">
        <f t="shared" si="350"/>
        <v>0</v>
      </c>
      <c r="AJ73" s="130">
        <f t="shared" si="350"/>
        <v>0</v>
      </c>
      <c r="AK73" s="130">
        <f t="shared" si="350"/>
        <v>0</v>
      </c>
      <c r="AL73" s="130">
        <f t="shared" si="350"/>
        <v>0</v>
      </c>
      <c r="AM73" s="130">
        <f t="shared" si="350"/>
        <v>0</v>
      </c>
      <c r="AN73" s="130">
        <f t="shared" si="350"/>
        <v>0</v>
      </c>
      <c r="AO73" s="130">
        <f t="shared" si="350"/>
        <v>0</v>
      </c>
      <c r="AP73" s="130">
        <f t="shared" si="350"/>
        <v>0</v>
      </c>
      <c r="AQ73" s="130">
        <f t="shared" si="350"/>
        <v>0</v>
      </c>
      <c r="AR73" s="130">
        <f t="shared" si="350"/>
        <v>0</v>
      </c>
      <c r="AS73" s="130">
        <f t="shared" si="350"/>
        <v>0</v>
      </c>
      <c r="AT73" s="130">
        <f t="shared" si="350"/>
        <v>0</v>
      </c>
      <c r="AU73" s="130">
        <f t="shared" si="350"/>
        <v>0</v>
      </c>
      <c r="AV73" s="130"/>
    </row>
    <row r="74" spans="1:48">
      <c r="A74" s="555"/>
      <c r="B74" s="290" t="s">
        <v>392</v>
      </c>
      <c r="C74" s="569" t="s">
        <v>338</v>
      </c>
      <c r="D74" s="565"/>
      <c r="J74" s="130"/>
      <c r="K74" s="130"/>
      <c r="L74" s="130">
        <f t="shared" si="348"/>
        <v>0</v>
      </c>
      <c r="M74" s="130">
        <f t="shared" si="350"/>
        <v>0</v>
      </c>
      <c r="N74" s="130">
        <f t="shared" si="350"/>
        <v>0</v>
      </c>
      <c r="O74" s="130">
        <f t="shared" si="350"/>
        <v>0</v>
      </c>
      <c r="P74" s="130">
        <f t="shared" si="350"/>
        <v>0</v>
      </c>
      <c r="Q74" s="130">
        <f t="shared" si="350"/>
        <v>0</v>
      </c>
      <c r="R74" s="130">
        <f t="shared" si="350"/>
        <v>0</v>
      </c>
      <c r="S74" s="130">
        <f t="shared" si="350"/>
        <v>0</v>
      </c>
      <c r="T74" s="130">
        <f t="shared" si="350"/>
        <v>0</v>
      </c>
      <c r="U74" s="130">
        <f t="shared" si="350"/>
        <v>0</v>
      </c>
      <c r="V74" s="130">
        <f t="shared" si="350"/>
        <v>0</v>
      </c>
      <c r="W74" s="130">
        <f t="shared" si="350"/>
        <v>0</v>
      </c>
      <c r="X74" s="130">
        <f t="shared" si="350"/>
        <v>0</v>
      </c>
      <c r="Y74" s="130">
        <f t="shared" si="350"/>
        <v>0</v>
      </c>
      <c r="Z74" s="130">
        <f t="shared" si="350"/>
        <v>0</v>
      </c>
      <c r="AA74" s="130">
        <f t="shared" si="350"/>
        <v>0</v>
      </c>
      <c r="AB74" s="130">
        <f t="shared" si="350"/>
        <v>0</v>
      </c>
      <c r="AC74" s="130">
        <f t="shared" si="350"/>
        <v>0</v>
      </c>
      <c r="AD74" s="130">
        <f t="shared" si="350"/>
        <v>0</v>
      </c>
      <c r="AE74" s="130">
        <f t="shared" si="350"/>
        <v>0</v>
      </c>
      <c r="AF74" s="130">
        <f t="shared" si="350"/>
        <v>0</v>
      </c>
      <c r="AG74" s="130">
        <f t="shared" si="350"/>
        <v>0</v>
      </c>
      <c r="AH74" s="130">
        <f t="shared" si="350"/>
        <v>0</v>
      </c>
      <c r="AI74" s="130">
        <f t="shared" si="350"/>
        <v>0</v>
      </c>
      <c r="AJ74" s="130">
        <f t="shared" si="350"/>
        <v>0</v>
      </c>
      <c r="AK74" s="130">
        <f t="shared" si="350"/>
        <v>0</v>
      </c>
      <c r="AL74" s="130">
        <f t="shared" si="350"/>
        <v>0</v>
      </c>
      <c r="AM74" s="130">
        <f t="shared" si="350"/>
        <v>0</v>
      </c>
      <c r="AN74" s="130">
        <f t="shared" si="350"/>
        <v>0</v>
      </c>
      <c r="AO74" s="130">
        <f t="shared" si="350"/>
        <v>0</v>
      </c>
      <c r="AP74" s="130">
        <f t="shared" si="350"/>
        <v>0</v>
      </c>
      <c r="AQ74" s="130">
        <f t="shared" si="350"/>
        <v>0</v>
      </c>
      <c r="AR74" s="130">
        <f t="shared" si="350"/>
        <v>0</v>
      </c>
      <c r="AS74" s="130">
        <f t="shared" si="350"/>
        <v>0</v>
      </c>
      <c r="AT74" s="130">
        <f t="shared" si="350"/>
        <v>0</v>
      </c>
      <c r="AU74" s="130">
        <f t="shared" si="350"/>
        <v>0</v>
      </c>
      <c r="AV74" s="130"/>
    </row>
    <row r="75" spans="1:48">
      <c r="A75" s="555"/>
      <c r="B75" s="290" t="s">
        <v>395</v>
      </c>
      <c r="C75" s="565" t="s">
        <v>418</v>
      </c>
      <c r="D75" s="566">
        <v>0.1</v>
      </c>
      <c r="J75" s="130"/>
      <c r="K75" s="130"/>
      <c r="L75" s="130">
        <f t="shared" si="348"/>
        <v>0</v>
      </c>
      <c r="M75" s="130">
        <f t="shared" si="350"/>
        <v>0</v>
      </c>
      <c r="N75" s="130">
        <f t="shared" si="350"/>
        <v>0</v>
      </c>
      <c r="O75" s="130">
        <f t="shared" si="350"/>
        <v>0</v>
      </c>
      <c r="P75" s="130">
        <f t="shared" si="350"/>
        <v>0</v>
      </c>
      <c r="Q75" s="130">
        <f t="shared" si="350"/>
        <v>0</v>
      </c>
      <c r="R75" s="130">
        <f t="shared" si="350"/>
        <v>0</v>
      </c>
      <c r="S75" s="130">
        <f t="shared" si="350"/>
        <v>0</v>
      </c>
      <c r="T75" s="130">
        <f t="shared" si="350"/>
        <v>0</v>
      </c>
      <c r="U75" s="130">
        <f t="shared" si="350"/>
        <v>0</v>
      </c>
      <c r="V75" s="130">
        <f t="shared" si="350"/>
        <v>0</v>
      </c>
      <c r="W75" s="130">
        <f t="shared" si="350"/>
        <v>0</v>
      </c>
      <c r="X75" s="130">
        <f t="shared" si="350"/>
        <v>0</v>
      </c>
      <c r="Y75" s="130">
        <f t="shared" si="350"/>
        <v>0</v>
      </c>
      <c r="Z75" s="130">
        <f t="shared" si="350"/>
        <v>0</v>
      </c>
      <c r="AA75" s="130">
        <f t="shared" si="350"/>
        <v>0</v>
      </c>
      <c r="AB75" s="130">
        <f t="shared" si="350"/>
        <v>0</v>
      </c>
      <c r="AC75" s="130">
        <f t="shared" si="350"/>
        <v>0</v>
      </c>
      <c r="AD75" s="130">
        <f t="shared" si="350"/>
        <v>0</v>
      </c>
      <c r="AE75" s="130">
        <f t="shared" si="350"/>
        <v>0</v>
      </c>
      <c r="AF75" s="130">
        <f t="shared" si="350"/>
        <v>0</v>
      </c>
      <c r="AG75" s="130">
        <f t="shared" si="350"/>
        <v>0</v>
      </c>
      <c r="AH75" s="130">
        <f t="shared" si="350"/>
        <v>0</v>
      </c>
      <c r="AI75" s="130">
        <f t="shared" si="350"/>
        <v>0</v>
      </c>
      <c r="AJ75" s="130">
        <f t="shared" si="350"/>
        <v>0</v>
      </c>
      <c r="AK75" s="130">
        <f t="shared" si="350"/>
        <v>0</v>
      </c>
      <c r="AL75" s="130">
        <f t="shared" si="350"/>
        <v>0</v>
      </c>
      <c r="AM75" s="130">
        <f t="shared" si="350"/>
        <v>0</v>
      </c>
      <c r="AN75" s="130">
        <f t="shared" si="350"/>
        <v>0</v>
      </c>
      <c r="AO75" s="130">
        <f t="shared" si="350"/>
        <v>0</v>
      </c>
      <c r="AP75" s="130">
        <f t="shared" si="350"/>
        <v>0</v>
      </c>
      <c r="AQ75" s="130">
        <f t="shared" si="350"/>
        <v>0</v>
      </c>
      <c r="AR75" s="130">
        <f t="shared" si="350"/>
        <v>0</v>
      </c>
      <c r="AS75" s="130">
        <f t="shared" si="350"/>
        <v>0</v>
      </c>
      <c r="AT75" s="130">
        <f t="shared" si="350"/>
        <v>0</v>
      </c>
      <c r="AU75" s="130">
        <f t="shared" si="350"/>
        <v>0</v>
      </c>
      <c r="AV75" s="130"/>
    </row>
    <row r="76" spans="1:48">
      <c r="A76" s="555"/>
      <c r="B76" s="290" t="s">
        <v>396</v>
      </c>
      <c r="C76" s="565" t="s">
        <v>418</v>
      </c>
      <c r="D76" s="566">
        <v>0.1</v>
      </c>
      <c r="J76" s="130"/>
      <c r="K76" s="130"/>
      <c r="L76" s="130">
        <f t="shared" si="348"/>
        <v>0</v>
      </c>
      <c r="M76" s="130">
        <f t="shared" si="350"/>
        <v>0</v>
      </c>
      <c r="N76" s="130">
        <f t="shared" si="350"/>
        <v>0</v>
      </c>
      <c r="O76" s="130">
        <f t="shared" si="350"/>
        <v>0</v>
      </c>
      <c r="P76" s="130">
        <f t="shared" si="350"/>
        <v>0</v>
      </c>
      <c r="Q76" s="130">
        <f t="shared" si="350"/>
        <v>0</v>
      </c>
      <c r="R76" s="130">
        <f t="shared" si="350"/>
        <v>0</v>
      </c>
      <c r="S76" s="130">
        <f t="shared" si="350"/>
        <v>0</v>
      </c>
      <c r="T76" s="130">
        <f t="shared" si="350"/>
        <v>0</v>
      </c>
      <c r="U76" s="130">
        <f t="shared" si="350"/>
        <v>0</v>
      </c>
      <c r="V76" s="130">
        <f t="shared" si="350"/>
        <v>0</v>
      </c>
      <c r="W76" s="130">
        <f t="shared" si="350"/>
        <v>0</v>
      </c>
      <c r="X76" s="130">
        <f t="shared" si="350"/>
        <v>0</v>
      </c>
      <c r="Y76" s="130">
        <f t="shared" si="350"/>
        <v>0</v>
      </c>
      <c r="Z76" s="130">
        <f t="shared" si="350"/>
        <v>0</v>
      </c>
      <c r="AA76" s="130">
        <f t="shared" si="350"/>
        <v>0</v>
      </c>
      <c r="AB76" s="130">
        <f t="shared" si="350"/>
        <v>0</v>
      </c>
      <c r="AC76" s="130">
        <f t="shared" si="350"/>
        <v>0</v>
      </c>
      <c r="AD76" s="130">
        <f t="shared" si="350"/>
        <v>0</v>
      </c>
      <c r="AE76" s="130">
        <f t="shared" si="350"/>
        <v>0</v>
      </c>
      <c r="AF76" s="130">
        <f t="shared" si="350"/>
        <v>0</v>
      </c>
      <c r="AG76" s="130">
        <f t="shared" si="350"/>
        <v>0</v>
      </c>
      <c r="AH76" s="130">
        <f t="shared" si="350"/>
        <v>0</v>
      </c>
      <c r="AI76" s="130">
        <f t="shared" si="350"/>
        <v>0</v>
      </c>
      <c r="AJ76" s="130">
        <f t="shared" si="350"/>
        <v>0</v>
      </c>
      <c r="AK76" s="130">
        <f t="shared" si="350"/>
        <v>0</v>
      </c>
      <c r="AL76" s="130">
        <f t="shared" si="350"/>
        <v>0</v>
      </c>
      <c r="AM76" s="130">
        <f t="shared" si="350"/>
        <v>0</v>
      </c>
      <c r="AN76" s="130">
        <f t="shared" si="350"/>
        <v>0</v>
      </c>
      <c r="AO76" s="130">
        <f t="shared" si="350"/>
        <v>0</v>
      </c>
      <c r="AP76" s="130">
        <f t="shared" si="350"/>
        <v>0</v>
      </c>
      <c r="AQ76" s="130">
        <f t="shared" si="350"/>
        <v>0</v>
      </c>
      <c r="AR76" s="130">
        <f t="shared" si="350"/>
        <v>0</v>
      </c>
      <c r="AS76" s="130">
        <f t="shared" si="350"/>
        <v>0</v>
      </c>
      <c r="AT76" s="130">
        <f t="shared" si="350"/>
        <v>0</v>
      </c>
      <c r="AU76" s="130">
        <f t="shared" si="350"/>
        <v>0</v>
      </c>
      <c r="AV76" s="130"/>
    </row>
    <row r="77" spans="1:48">
      <c r="A77" s="555"/>
      <c r="B77" s="290" t="s">
        <v>394</v>
      </c>
      <c r="C77" s="565" t="s">
        <v>422</v>
      </c>
      <c r="D77" s="570">
        <v>2.5000000000000001E-2</v>
      </c>
      <c r="J77" s="130"/>
      <c r="K77" s="130"/>
      <c r="L77" s="130">
        <f t="shared" si="348"/>
        <v>0</v>
      </c>
      <c r="M77" s="130">
        <f t="shared" si="350"/>
        <v>0</v>
      </c>
      <c r="N77" s="130">
        <f t="shared" si="350"/>
        <v>0</v>
      </c>
      <c r="O77" s="130">
        <f t="shared" si="350"/>
        <v>0</v>
      </c>
      <c r="P77" s="130">
        <f t="shared" si="350"/>
        <v>0</v>
      </c>
      <c r="Q77" s="130">
        <f t="shared" si="350"/>
        <v>0</v>
      </c>
      <c r="R77" s="130">
        <f t="shared" si="350"/>
        <v>0</v>
      </c>
      <c r="S77" s="130">
        <f t="shared" si="350"/>
        <v>0</v>
      </c>
      <c r="T77" s="130">
        <f t="shared" si="350"/>
        <v>0</v>
      </c>
      <c r="U77" s="130">
        <f t="shared" si="350"/>
        <v>0</v>
      </c>
      <c r="V77" s="130">
        <f t="shared" si="350"/>
        <v>0</v>
      </c>
      <c r="W77" s="130">
        <f t="shared" si="350"/>
        <v>0</v>
      </c>
      <c r="X77" s="130">
        <f t="shared" si="350"/>
        <v>0</v>
      </c>
      <c r="Y77" s="130">
        <f t="shared" si="350"/>
        <v>0</v>
      </c>
      <c r="Z77" s="130">
        <f t="shared" si="350"/>
        <v>0</v>
      </c>
      <c r="AA77" s="130">
        <f t="shared" si="350"/>
        <v>0</v>
      </c>
      <c r="AB77" s="130">
        <f t="shared" si="350"/>
        <v>0</v>
      </c>
      <c r="AC77" s="130">
        <f t="shared" si="350"/>
        <v>0</v>
      </c>
      <c r="AD77" s="130">
        <f t="shared" si="350"/>
        <v>0</v>
      </c>
      <c r="AE77" s="130">
        <f t="shared" si="350"/>
        <v>0</v>
      </c>
      <c r="AF77" s="130">
        <f t="shared" si="350"/>
        <v>0</v>
      </c>
      <c r="AG77" s="130">
        <f t="shared" si="350"/>
        <v>0</v>
      </c>
      <c r="AH77" s="130">
        <f t="shared" si="350"/>
        <v>0</v>
      </c>
      <c r="AI77" s="130">
        <f t="shared" si="350"/>
        <v>0</v>
      </c>
      <c r="AJ77" s="130">
        <f t="shared" si="350"/>
        <v>0</v>
      </c>
      <c r="AK77" s="130">
        <f t="shared" si="350"/>
        <v>0</v>
      </c>
      <c r="AL77" s="130">
        <f t="shared" ref="M77:AU81" si="351">$D77*AL35</f>
        <v>0</v>
      </c>
      <c r="AM77" s="130">
        <f t="shared" si="351"/>
        <v>0</v>
      </c>
      <c r="AN77" s="130">
        <f t="shared" si="351"/>
        <v>0</v>
      </c>
      <c r="AO77" s="130">
        <f t="shared" si="351"/>
        <v>0</v>
      </c>
      <c r="AP77" s="130">
        <f t="shared" si="351"/>
        <v>0</v>
      </c>
      <c r="AQ77" s="130">
        <f t="shared" si="351"/>
        <v>0</v>
      </c>
      <c r="AR77" s="130">
        <f t="shared" si="351"/>
        <v>0</v>
      </c>
      <c r="AS77" s="130">
        <f t="shared" si="351"/>
        <v>0</v>
      </c>
      <c r="AT77" s="130">
        <f t="shared" si="351"/>
        <v>0</v>
      </c>
      <c r="AU77" s="130">
        <f t="shared" si="351"/>
        <v>0</v>
      </c>
      <c r="AV77" s="130"/>
    </row>
    <row r="78" spans="1:48">
      <c r="A78" s="555"/>
      <c r="B78" s="290" t="s">
        <v>393</v>
      </c>
      <c r="C78" s="565" t="s">
        <v>422</v>
      </c>
      <c r="D78" s="570">
        <v>2.5000000000000001E-2</v>
      </c>
      <c r="J78" s="130"/>
      <c r="K78" s="130"/>
      <c r="L78" s="130">
        <f t="shared" si="348"/>
        <v>0</v>
      </c>
      <c r="M78" s="130">
        <f t="shared" si="351"/>
        <v>0</v>
      </c>
      <c r="N78" s="130">
        <f t="shared" si="351"/>
        <v>0</v>
      </c>
      <c r="O78" s="130">
        <f t="shared" si="351"/>
        <v>0</v>
      </c>
      <c r="P78" s="130">
        <f t="shared" si="351"/>
        <v>0</v>
      </c>
      <c r="Q78" s="130">
        <f t="shared" si="351"/>
        <v>0</v>
      </c>
      <c r="R78" s="130">
        <f t="shared" si="351"/>
        <v>0</v>
      </c>
      <c r="S78" s="130">
        <f t="shared" si="351"/>
        <v>0</v>
      </c>
      <c r="T78" s="130">
        <f t="shared" si="351"/>
        <v>0</v>
      </c>
      <c r="U78" s="130">
        <f t="shared" si="351"/>
        <v>0</v>
      </c>
      <c r="V78" s="130">
        <f t="shared" si="351"/>
        <v>0</v>
      </c>
      <c r="W78" s="130">
        <f t="shared" si="351"/>
        <v>0</v>
      </c>
      <c r="X78" s="130">
        <f t="shared" si="351"/>
        <v>0</v>
      </c>
      <c r="Y78" s="130">
        <f t="shared" si="351"/>
        <v>0</v>
      </c>
      <c r="Z78" s="130">
        <f t="shared" si="351"/>
        <v>0</v>
      </c>
      <c r="AA78" s="130">
        <f t="shared" si="351"/>
        <v>0</v>
      </c>
      <c r="AB78" s="130">
        <f t="shared" si="351"/>
        <v>0</v>
      </c>
      <c r="AC78" s="130">
        <f t="shared" si="351"/>
        <v>0</v>
      </c>
      <c r="AD78" s="130">
        <f t="shared" si="351"/>
        <v>0</v>
      </c>
      <c r="AE78" s="130">
        <f t="shared" si="351"/>
        <v>0</v>
      </c>
      <c r="AF78" s="130">
        <f t="shared" si="351"/>
        <v>0</v>
      </c>
      <c r="AG78" s="130">
        <f t="shared" si="351"/>
        <v>0</v>
      </c>
      <c r="AH78" s="130">
        <f t="shared" si="351"/>
        <v>0</v>
      </c>
      <c r="AI78" s="130">
        <f t="shared" si="351"/>
        <v>0</v>
      </c>
      <c r="AJ78" s="130">
        <f t="shared" si="351"/>
        <v>0</v>
      </c>
      <c r="AK78" s="130">
        <f t="shared" si="351"/>
        <v>0</v>
      </c>
      <c r="AL78" s="130">
        <f t="shared" si="351"/>
        <v>0</v>
      </c>
      <c r="AM78" s="130">
        <f t="shared" si="351"/>
        <v>0</v>
      </c>
      <c r="AN78" s="130">
        <f t="shared" si="351"/>
        <v>0</v>
      </c>
      <c r="AO78" s="130">
        <f t="shared" si="351"/>
        <v>0</v>
      </c>
      <c r="AP78" s="130">
        <f t="shared" si="351"/>
        <v>0</v>
      </c>
      <c r="AQ78" s="130">
        <f t="shared" si="351"/>
        <v>0</v>
      </c>
      <c r="AR78" s="130">
        <f t="shared" si="351"/>
        <v>0</v>
      </c>
      <c r="AS78" s="130">
        <f t="shared" si="351"/>
        <v>0</v>
      </c>
      <c r="AT78" s="130">
        <f t="shared" si="351"/>
        <v>0</v>
      </c>
      <c r="AU78" s="130">
        <f t="shared" si="351"/>
        <v>0</v>
      </c>
      <c r="AV78" s="130"/>
    </row>
    <row r="79" spans="1:48">
      <c r="A79" s="555"/>
      <c r="B79" s="290" t="s">
        <v>308</v>
      </c>
      <c r="C79" s="565" t="s">
        <v>418</v>
      </c>
      <c r="D79" s="566">
        <v>0.1</v>
      </c>
      <c r="J79" s="130"/>
      <c r="K79" s="130"/>
      <c r="L79" s="130">
        <f t="shared" si="348"/>
        <v>0</v>
      </c>
      <c r="M79" s="130">
        <f t="shared" si="351"/>
        <v>0</v>
      </c>
      <c r="N79" s="130">
        <f t="shared" si="351"/>
        <v>0</v>
      </c>
      <c r="O79" s="130">
        <f t="shared" si="351"/>
        <v>0</v>
      </c>
      <c r="P79" s="130">
        <f t="shared" si="351"/>
        <v>0</v>
      </c>
      <c r="Q79" s="130">
        <f t="shared" si="351"/>
        <v>0</v>
      </c>
      <c r="R79" s="130">
        <f t="shared" si="351"/>
        <v>0</v>
      </c>
      <c r="S79" s="130">
        <f t="shared" si="351"/>
        <v>0</v>
      </c>
      <c r="T79" s="130">
        <f t="shared" si="351"/>
        <v>0</v>
      </c>
      <c r="U79" s="130">
        <f t="shared" si="351"/>
        <v>0</v>
      </c>
      <c r="V79" s="130">
        <f t="shared" si="351"/>
        <v>0</v>
      </c>
      <c r="W79" s="130">
        <f t="shared" si="351"/>
        <v>0</v>
      </c>
      <c r="X79" s="130">
        <f t="shared" si="351"/>
        <v>0</v>
      </c>
      <c r="Y79" s="130">
        <f t="shared" si="351"/>
        <v>0</v>
      </c>
      <c r="Z79" s="130">
        <f t="shared" si="351"/>
        <v>0</v>
      </c>
      <c r="AA79" s="130">
        <f t="shared" si="351"/>
        <v>0</v>
      </c>
      <c r="AB79" s="130">
        <f t="shared" si="351"/>
        <v>0</v>
      </c>
      <c r="AC79" s="130">
        <f t="shared" si="351"/>
        <v>0</v>
      </c>
      <c r="AD79" s="130">
        <f t="shared" si="351"/>
        <v>0</v>
      </c>
      <c r="AE79" s="130">
        <f t="shared" si="351"/>
        <v>0</v>
      </c>
      <c r="AF79" s="130">
        <f t="shared" si="351"/>
        <v>0</v>
      </c>
      <c r="AG79" s="130">
        <f t="shared" si="351"/>
        <v>0</v>
      </c>
      <c r="AH79" s="130">
        <f t="shared" si="351"/>
        <v>0</v>
      </c>
      <c r="AI79" s="130">
        <f t="shared" si="351"/>
        <v>0</v>
      </c>
      <c r="AJ79" s="130">
        <f t="shared" si="351"/>
        <v>0</v>
      </c>
      <c r="AK79" s="130">
        <f t="shared" si="351"/>
        <v>0</v>
      </c>
      <c r="AL79" s="130">
        <f t="shared" si="351"/>
        <v>0</v>
      </c>
      <c r="AM79" s="130">
        <f t="shared" si="351"/>
        <v>0</v>
      </c>
      <c r="AN79" s="130">
        <f t="shared" si="351"/>
        <v>0</v>
      </c>
      <c r="AO79" s="130">
        <f t="shared" si="351"/>
        <v>0</v>
      </c>
      <c r="AP79" s="130">
        <f t="shared" si="351"/>
        <v>0</v>
      </c>
      <c r="AQ79" s="130">
        <f t="shared" si="351"/>
        <v>0</v>
      </c>
      <c r="AR79" s="130">
        <f t="shared" si="351"/>
        <v>0</v>
      </c>
      <c r="AS79" s="130">
        <f t="shared" si="351"/>
        <v>0</v>
      </c>
      <c r="AT79" s="130">
        <f t="shared" si="351"/>
        <v>0</v>
      </c>
      <c r="AU79" s="130">
        <f t="shared" si="351"/>
        <v>0</v>
      </c>
      <c r="AV79" s="130"/>
    </row>
    <row r="80" spans="1:48">
      <c r="A80" s="555"/>
      <c r="B80" s="290" t="s">
        <v>340</v>
      </c>
      <c r="C80" s="565" t="s">
        <v>419</v>
      </c>
      <c r="D80" s="566">
        <v>0.43</v>
      </c>
      <c r="J80" s="130"/>
      <c r="K80" s="130"/>
      <c r="L80" s="130">
        <f t="shared" si="348"/>
        <v>0</v>
      </c>
      <c r="M80" s="130">
        <f t="shared" si="351"/>
        <v>0</v>
      </c>
      <c r="N80" s="130">
        <f t="shared" si="351"/>
        <v>0</v>
      </c>
      <c r="O80" s="130">
        <f t="shared" si="351"/>
        <v>0</v>
      </c>
      <c r="P80" s="130">
        <f t="shared" si="351"/>
        <v>0</v>
      </c>
      <c r="Q80" s="130">
        <f t="shared" si="351"/>
        <v>0</v>
      </c>
      <c r="R80" s="130">
        <f t="shared" si="351"/>
        <v>0</v>
      </c>
      <c r="S80" s="130">
        <f t="shared" si="351"/>
        <v>0</v>
      </c>
      <c r="T80" s="130">
        <f t="shared" si="351"/>
        <v>0</v>
      </c>
      <c r="U80" s="130">
        <f t="shared" si="351"/>
        <v>0</v>
      </c>
      <c r="V80" s="130">
        <f t="shared" si="351"/>
        <v>0</v>
      </c>
      <c r="W80" s="130">
        <f t="shared" si="351"/>
        <v>0</v>
      </c>
      <c r="X80" s="130">
        <f t="shared" si="351"/>
        <v>0</v>
      </c>
      <c r="Y80" s="130">
        <f t="shared" si="351"/>
        <v>0</v>
      </c>
      <c r="Z80" s="130">
        <f t="shared" si="351"/>
        <v>0</v>
      </c>
      <c r="AA80" s="130">
        <f t="shared" si="351"/>
        <v>0</v>
      </c>
      <c r="AB80" s="130">
        <f t="shared" si="351"/>
        <v>0</v>
      </c>
      <c r="AC80" s="130">
        <f t="shared" si="351"/>
        <v>0</v>
      </c>
      <c r="AD80" s="130">
        <f t="shared" si="351"/>
        <v>0</v>
      </c>
      <c r="AE80" s="130">
        <f t="shared" si="351"/>
        <v>0</v>
      </c>
      <c r="AF80" s="130">
        <f t="shared" si="351"/>
        <v>0</v>
      </c>
      <c r="AG80" s="130">
        <f t="shared" si="351"/>
        <v>0</v>
      </c>
      <c r="AH80" s="130">
        <f t="shared" si="351"/>
        <v>0</v>
      </c>
      <c r="AI80" s="130">
        <f t="shared" si="351"/>
        <v>0</v>
      </c>
      <c r="AJ80" s="130">
        <f t="shared" si="351"/>
        <v>0</v>
      </c>
      <c r="AK80" s="130">
        <f t="shared" si="351"/>
        <v>0</v>
      </c>
      <c r="AL80" s="130">
        <f t="shared" si="351"/>
        <v>0</v>
      </c>
      <c r="AM80" s="130">
        <f t="shared" si="351"/>
        <v>0</v>
      </c>
      <c r="AN80" s="130">
        <f t="shared" si="351"/>
        <v>0</v>
      </c>
      <c r="AO80" s="130">
        <f t="shared" si="351"/>
        <v>0</v>
      </c>
      <c r="AP80" s="130">
        <f t="shared" si="351"/>
        <v>0</v>
      </c>
      <c r="AQ80" s="130">
        <f t="shared" si="351"/>
        <v>0</v>
      </c>
      <c r="AR80" s="130">
        <f t="shared" si="351"/>
        <v>0</v>
      </c>
      <c r="AS80" s="130">
        <f t="shared" si="351"/>
        <v>0</v>
      </c>
      <c r="AT80" s="130">
        <f t="shared" si="351"/>
        <v>0</v>
      </c>
      <c r="AU80" s="130">
        <f t="shared" si="351"/>
        <v>0</v>
      </c>
      <c r="AV80" s="130"/>
    </row>
    <row r="81" spans="1:48">
      <c r="A81" s="555"/>
      <c r="B81" s="290" t="s">
        <v>309</v>
      </c>
      <c r="C81" s="565" t="s">
        <v>422</v>
      </c>
      <c r="D81" s="570">
        <v>2.5000000000000001E-2</v>
      </c>
      <c r="J81" s="130"/>
      <c r="K81" s="130"/>
      <c r="L81" s="130">
        <f t="shared" ref="L81" si="352">$D81*L39</f>
        <v>0</v>
      </c>
      <c r="M81" s="130">
        <f t="shared" si="351"/>
        <v>0</v>
      </c>
      <c r="N81" s="130">
        <f t="shared" si="351"/>
        <v>0</v>
      </c>
      <c r="O81" s="130">
        <f t="shared" si="351"/>
        <v>0</v>
      </c>
      <c r="P81" s="130">
        <f t="shared" si="351"/>
        <v>0</v>
      </c>
      <c r="Q81" s="130">
        <f t="shared" si="351"/>
        <v>0</v>
      </c>
      <c r="R81" s="130">
        <f t="shared" si="351"/>
        <v>0</v>
      </c>
      <c r="S81" s="130">
        <f t="shared" si="351"/>
        <v>0</v>
      </c>
      <c r="T81" s="130">
        <f t="shared" si="351"/>
        <v>0</v>
      </c>
      <c r="U81" s="130">
        <f t="shared" si="351"/>
        <v>0</v>
      </c>
      <c r="V81" s="130">
        <f t="shared" si="351"/>
        <v>0</v>
      </c>
      <c r="W81" s="130">
        <f t="shared" si="351"/>
        <v>0</v>
      </c>
      <c r="X81" s="130">
        <f t="shared" si="351"/>
        <v>0</v>
      </c>
      <c r="Y81" s="130">
        <f t="shared" si="351"/>
        <v>0</v>
      </c>
      <c r="Z81" s="130">
        <f t="shared" si="351"/>
        <v>0</v>
      </c>
      <c r="AA81" s="130">
        <f t="shared" si="351"/>
        <v>0</v>
      </c>
      <c r="AB81" s="130">
        <f t="shared" si="351"/>
        <v>0</v>
      </c>
      <c r="AC81" s="130">
        <f t="shared" si="351"/>
        <v>0</v>
      </c>
      <c r="AD81" s="130">
        <f t="shared" si="351"/>
        <v>0</v>
      </c>
      <c r="AE81" s="130">
        <f t="shared" si="351"/>
        <v>0</v>
      </c>
      <c r="AF81" s="130">
        <f t="shared" si="351"/>
        <v>0</v>
      </c>
      <c r="AG81" s="130">
        <f t="shared" si="351"/>
        <v>0</v>
      </c>
      <c r="AH81" s="130">
        <f t="shared" si="351"/>
        <v>0</v>
      </c>
      <c r="AI81" s="130">
        <f t="shared" si="351"/>
        <v>0</v>
      </c>
      <c r="AJ81" s="130">
        <f t="shared" si="351"/>
        <v>0</v>
      </c>
      <c r="AK81" s="130">
        <f t="shared" si="351"/>
        <v>0</v>
      </c>
      <c r="AL81" s="130">
        <f t="shared" si="351"/>
        <v>0</v>
      </c>
      <c r="AM81" s="130">
        <f t="shared" si="351"/>
        <v>0</v>
      </c>
      <c r="AN81" s="130">
        <f t="shared" si="351"/>
        <v>0</v>
      </c>
      <c r="AO81" s="130">
        <f t="shared" si="351"/>
        <v>0</v>
      </c>
      <c r="AP81" s="130">
        <f t="shared" si="351"/>
        <v>0</v>
      </c>
      <c r="AQ81" s="130">
        <f t="shared" si="351"/>
        <v>0</v>
      </c>
      <c r="AR81" s="130">
        <f t="shared" si="351"/>
        <v>0</v>
      </c>
      <c r="AS81" s="130">
        <f t="shared" si="351"/>
        <v>0</v>
      </c>
      <c r="AT81" s="130">
        <f t="shared" si="351"/>
        <v>0</v>
      </c>
      <c r="AU81" s="130">
        <f t="shared" si="351"/>
        <v>0</v>
      </c>
      <c r="AV81" s="130"/>
    </row>
    <row r="82" spans="1:48">
      <c r="J82" s="130"/>
      <c r="K82" s="130"/>
    </row>
  </sheetData>
  <autoFilter ref="A4:AW42" xr:uid="{00000000-0001-0000-0C00-000000000000}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CCFF"/>
  </sheetPr>
  <dimension ref="A1:BA59"/>
  <sheetViews>
    <sheetView showGridLines="0" workbookViewId="0">
      <pane xSplit="3" ySplit="7" topLeftCell="D18" activePane="bottomRight" state="frozen"/>
      <selection activeCell="C16" sqref="C16"/>
      <selection pane="topRight" activeCell="C16" sqref="C16"/>
      <selection pane="bottomLeft" activeCell="C16" sqref="C16"/>
      <selection pane="bottomRight"/>
    </sheetView>
  </sheetViews>
  <sheetFormatPr defaultColWidth="9.109375" defaultRowHeight="13.8" outlineLevelRow="2" outlineLevelCol="1"/>
  <cols>
    <col min="1" max="1" width="40.44140625" style="72" customWidth="1"/>
    <col min="2" max="2" width="20.44140625" style="72" customWidth="1"/>
    <col min="3" max="4" width="15.44140625" style="72" customWidth="1"/>
    <col min="5" max="6" width="18.6640625" style="72" customWidth="1"/>
    <col min="7" max="8" width="15.44140625" style="72" customWidth="1"/>
    <col min="9" max="44" width="13.44140625" style="70" customWidth="1" outlineLevel="1"/>
    <col min="45" max="16384" width="9.109375" style="72"/>
  </cols>
  <sheetData>
    <row r="1" spans="1:53">
      <c r="A1" s="81"/>
      <c r="B1" s="68"/>
      <c r="C1" s="68"/>
      <c r="D1" s="69"/>
      <c r="E1" s="69"/>
      <c r="F1" s="69"/>
      <c r="G1" s="69"/>
      <c r="H1" s="69"/>
      <c r="I1" s="69"/>
      <c r="J1" s="69"/>
      <c r="AS1" s="71"/>
      <c r="AT1" s="71"/>
      <c r="AU1" s="71"/>
      <c r="AV1" s="71"/>
      <c r="AW1" s="71"/>
      <c r="AX1" s="71"/>
      <c r="AY1" s="71"/>
      <c r="AZ1" s="71"/>
      <c r="BA1" s="71"/>
    </row>
    <row r="2" spans="1:53">
      <c r="A2" s="73" t="s">
        <v>244</v>
      </c>
      <c r="B2" s="82" t="s">
        <v>245</v>
      </c>
      <c r="C2" s="82" t="s">
        <v>241</v>
      </c>
      <c r="D2" s="69"/>
      <c r="E2" s="69"/>
      <c r="F2" s="69"/>
      <c r="G2" s="69"/>
      <c r="H2" s="69"/>
      <c r="I2" s="69"/>
      <c r="J2" s="69"/>
      <c r="AS2" s="71"/>
      <c r="AT2" s="71"/>
      <c r="AU2" s="71"/>
      <c r="AV2" s="71"/>
      <c r="AW2" s="71"/>
      <c r="AX2" s="71"/>
      <c r="AY2" s="71"/>
      <c r="AZ2" s="71"/>
      <c r="BA2" s="71"/>
    </row>
    <row r="3" spans="1:53">
      <c r="A3" s="67"/>
      <c r="B3" s="83">
        <v>0.1</v>
      </c>
      <c r="C3" s="83">
        <v>0.1</v>
      </c>
      <c r="D3" s="69"/>
      <c r="E3" s="69"/>
      <c r="F3" s="69"/>
      <c r="G3" s="69"/>
      <c r="H3" s="69"/>
      <c r="I3" s="69"/>
      <c r="J3" s="69"/>
      <c r="AS3" s="71"/>
      <c r="AT3" s="71"/>
      <c r="AU3" s="71"/>
      <c r="AV3" s="71"/>
      <c r="AW3" s="71"/>
      <c r="AX3" s="71"/>
      <c r="AY3" s="71"/>
      <c r="AZ3" s="71"/>
      <c r="BA3" s="71"/>
    </row>
    <row r="4" spans="1:53" ht="27.6">
      <c r="A4" s="74" t="s">
        <v>234</v>
      </c>
      <c r="B4" s="75" t="s">
        <v>150</v>
      </c>
      <c r="C4" s="76" t="s">
        <v>151</v>
      </c>
      <c r="D4" s="76"/>
      <c r="E4" s="76"/>
      <c r="F4" s="76"/>
      <c r="G4" s="76"/>
      <c r="H4" s="76"/>
      <c r="AS4" s="71"/>
      <c r="AT4" s="71"/>
      <c r="AU4" s="71"/>
      <c r="AV4" s="71"/>
      <c r="AW4" s="71"/>
      <c r="AX4" s="71"/>
      <c r="AY4" s="71"/>
      <c r="AZ4" s="71"/>
      <c r="BA4" s="71"/>
    </row>
    <row r="5" spans="1:53" ht="18" customHeight="1">
      <c r="B5" s="84">
        <f>'PL OFT_2'!B5</f>
        <v>1504</v>
      </c>
      <c r="C5" s="84">
        <f>'PL OFT_2'!C5</f>
        <v>70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1"/>
      <c r="AT5" s="71"/>
      <c r="AU5" s="71"/>
      <c r="AV5" s="71"/>
      <c r="AW5" s="71"/>
      <c r="AX5" s="71"/>
      <c r="AY5" s="71"/>
      <c r="AZ5" s="71"/>
      <c r="BA5" s="71"/>
    </row>
    <row r="6" spans="1:53" ht="18" customHeight="1" thickBot="1">
      <c r="C6" s="76"/>
      <c r="D6" s="77" t="s">
        <v>14</v>
      </c>
      <c r="E6" s="77" t="s">
        <v>15</v>
      </c>
      <c r="F6" s="77" t="s">
        <v>16</v>
      </c>
      <c r="G6" s="78" t="s">
        <v>30</v>
      </c>
      <c r="H6" s="78" t="s">
        <v>31</v>
      </c>
      <c r="I6" s="77">
        <v>1</v>
      </c>
      <c r="J6" s="77">
        <v>2</v>
      </c>
      <c r="K6" s="77">
        <v>3</v>
      </c>
      <c r="L6" s="77">
        <v>4</v>
      </c>
      <c r="M6" s="77">
        <v>5</v>
      </c>
      <c r="N6" s="77">
        <v>6</v>
      </c>
      <c r="O6" s="77">
        <v>7</v>
      </c>
      <c r="P6" s="77">
        <v>8</v>
      </c>
      <c r="Q6" s="77">
        <v>9</v>
      </c>
      <c r="R6" s="77">
        <v>10</v>
      </c>
      <c r="S6" s="77">
        <v>11</v>
      </c>
      <c r="T6" s="77">
        <v>12</v>
      </c>
      <c r="U6" s="77">
        <v>13</v>
      </c>
      <c r="V6" s="77">
        <v>14</v>
      </c>
      <c r="W6" s="77">
        <v>15</v>
      </c>
      <c r="X6" s="77">
        <v>16</v>
      </c>
      <c r="Y6" s="77">
        <v>17</v>
      </c>
      <c r="Z6" s="77">
        <v>18</v>
      </c>
      <c r="AA6" s="77">
        <v>19</v>
      </c>
      <c r="AB6" s="77">
        <v>20</v>
      </c>
      <c r="AC6" s="77">
        <v>21</v>
      </c>
      <c r="AD6" s="77">
        <v>22</v>
      </c>
      <c r="AE6" s="77">
        <v>23</v>
      </c>
      <c r="AF6" s="77">
        <v>24</v>
      </c>
      <c r="AG6" s="77">
        <v>25</v>
      </c>
      <c r="AH6" s="77">
        <v>26</v>
      </c>
      <c r="AI6" s="77">
        <v>27</v>
      </c>
      <c r="AJ6" s="77">
        <v>28</v>
      </c>
      <c r="AK6" s="77">
        <v>29</v>
      </c>
      <c r="AL6" s="77">
        <v>30</v>
      </c>
      <c r="AM6" s="77">
        <v>31</v>
      </c>
      <c r="AN6" s="77">
        <v>32</v>
      </c>
      <c r="AO6" s="77">
        <v>33</v>
      </c>
      <c r="AP6" s="77">
        <v>34</v>
      </c>
      <c r="AQ6" s="77">
        <v>35</v>
      </c>
      <c r="AR6" s="77">
        <v>36</v>
      </c>
      <c r="AS6" s="71"/>
      <c r="AT6" s="71"/>
      <c r="AU6" s="71"/>
      <c r="AV6" s="71"/>
      <c r="AW6" s="71"/>
      <c r="AX6" s="71"/>
      <c r="AY6" s="71"/>
      <c r="AZ6" s="71"/>
      <c r="BA6" s="71"/>
    </row>
    <row r="7" spans="1:53" s="2" customFormat="1" ht="33" customHeight="1">
      <c r="A7" s="94" t="s">
        <v>209</v>
      </c>
      <c r="B7" s="111" t="s">
        <v>247</v>
      </c>
      <c r="C7" s="99" t="s">
        <v>246</v>
      </c>
      <c r="D7" s="86" t="s">
        <v>0</v>
      </c>
      <c r="E7" s="86" t="s">
        <v>0</v>
      </c>
      <c r="F7" s="86" t="s">
        <v>0</v>
      </c>
      <c r="G7" s="86" t="s">
        <v>18</v>
      </c>
      <c r="H7" s="86" t="s">
        <v>18</v>
      </c>
      <c r="I7" s="86" t="s">
        <v>14</v>
      </c>
      <c r="J7" s="86" t="s">
        <v>14</v>
      </c>
      <c r="K7" s="86" t="s">
        <v>14</v>
      </c>
      <c r="L7" s="86" t="s">
        <v>14</v>
      </c>
      <c r="M7" s="86" t="s">
        <v>14</v>
      </c>
      <c r="N7" s="86" t="s">
        <v>14</v>
      </c>
      <c r="O7" s="86" t="s">
        <v>14</v>
      </c>
      <c r="P7" s="86" t="s">
        <v>14</v>
      </c>
      <c r="Q7" s="86" t="s">
        <v>14</v>
      </c>
      <c r="R7" s="86" t="s">
        <v>14</v>
      </c>
      <c r="S7" s="86" t="s">
        <v>14</v>
      </c>
      <c r="T7" s="86" t="s">
        <v>14</v>
      </c>
      <c r="U7" s="86" t="s">
        <v>15</v>
      </c>
      <c r="V7" s="86" t="s">
        <v>15</v>
      </c>
      <c r="W7" s="86" t="s">
        <v>15</v>
      </c>
      <c r="X7" s="86" t="s">
        <v>15</v>
      </c>
      <c r="Y7" s="86" t="s">
        <v>15</v>
      </c>
      <c r="Z7" s="86" t="s">
        <v>15</v>
      </c>
      <c r="AA7" s="86" t="s">
        <v>15</v>
      </c>
      <c r="AB7" s="86" t="s">
        <v>15</v>
      </c>
      <c r="AC7" s="86" t="s">
        <v>15</v>
      </c>
      <c r="AD7" s="86" t="s">
        <v>15</v>
      </c>
      <c r="AE7" s="86" t="s">
        <v>15</v>
      </c>
      <c r="AF7" s="86" t="s">
        <v>15</v>
      </c>
      <c r="AG7" s="86" t="s">
        <v>16</v>
      </c>
      <c r="AH7" s="86" t="s">
        <v>16</v>
      </c>
      <c r="AI7" s="86" t="s">
        <v>16</v>
      </c>
      <c r="AJ7" s="86" t="s">
        <v>16</v>
      </c>
      <c r="AK7" s="86" t="s">
        <v>16</v>
      </c>
      <c r="AL7" s="86" t="s">
        <v>16</v>
      </c>
      <c r="AM7" s="86" t="s">
        <v>16</v>
      </c>
      <c r="AN7" s="86" t="s">
        <v>16</v>
      </c>
      <c r="AO7" s="86" t="s">
        <v>16</v>
      </c>
      <c r="AP7" s="86" t="s">
        <v>16</v>
      </c>
      <c r="AQ7" s="86" t="s">
        <v>16</v>
      </c>
      <c r="AR7" s="86" t="s">
        <v>16</v>
      </c>
      <c r="AS7" s="71"/>
      <c r="AT7" s="71"/>
      <c r="AU7" s="71"/>
      <c r="AV7" s="71"/>
      <c r="AW7" s="71"/>
      <c r="AX7" s="71"/>
      <c r="AY7" s="71"/>
      <c r="AZ7" s="71"/>
      <c r="BA7" s="71"/>
    </row>
    <row r="8" spans="1:53" s="79" customFormat="1" ht="21" customHeight="1">
      <c r="A8" s="107" t="s">
        <v>134</v>
      </c>
      <c r="B8" s="112"/>
      <c r="C8" s="108"/>
      <c r="D8" s="109">
        <f>SUMIF($I$7:$AR$7,$D$6,$I8:$AR8)</f>
        <v>0</v>
      </c>
      <c r="E8" s="109">
        <f>SUMIF($I$7:$AR$7,$E$6,$I8:$AR8)</f>
        <v>0</v>
      </c>
      <c r="F8" s="109">
        <f>SUMIF($I$7:$AR$7,$F$6,$I8:$AR8)</f>
        <v>0</v>
      </c>
      <c r="G8" s="110">
        <f>IFERROR(E8/D8-1,0)</f>
        <v>0</v>
      </c>
      <c r="H8" s="110">
        <f>IFERROR(F8/E8-1,0)</f>
        <v>0</v>
      </c>
      <c r="I8" s="109">
        <f>Revenue_Optic_2!H5</f>
        <v>0</v>
      </c>
      <c r="J8" s="109">
        <f>Revenue_Optic_2!I5</f>
        <v>0</v>
      </c>
      <c r="K8" s="109">
        <f>Revenue_Optic_2!J5</f>
        <v>0</v>
      </c>
      <c r="L8" s="109">
        <f>Revenue_Optic_2!K5</f>
        <v>0</v>
      </c>
      <c r="M8" s="109">
        <f>Revenue_Optic_2!L5</f>
        <v>0</v>
      </c>
      <c r="N8" s="109">
        <f>Revenue_Optic_2!M5</f>
        <v>0</v>
      </c>
      <c r="O8" s="109">
        <f>Revenue_Optic_2!N5</f>
        <v>0</v>
      </c>
      <c r="P8" s="109">
        <f>Revenue_Optic_2!O5</f>
        <v>0</v>
      </c>
      <c r="Q8" s="109">
        <f>Revenue_Optic_2!P5</f>
        <v>0</v>
      </c>
      <c r="R8" s="109">
        <f>Revenue_Optic_2!Q5</f>
        <v>0</v>
      </c>
      <c r="S8" s="109">
        <f>Revenue_Optic_2!R5</f>
        <v>0</v>
      </c>
      <c r="T8" s="109">
        <f>Revenue_Optic_2!S5</f>
        <v>0</v>
      </c>
      <c r="U8" s="109">
        <f>Revenue_Optic_2!T5</f>
        <v>0</v>
      </c>
      <c r="V8" s="109">
        <f>Revenue_Optic_2!U5</f>
        <v>0</v>
      </c>
      <c r="W8" s="109">
        <f>Revenue_Optic_2!V5</f>
        <v>0</v>
      </c>
      <c r="X8" s="109">
        <f>Revenue_Optic_2!W5</f>
        <v>0</v>
      </c>
      <c r="Y8" s="109">
        <f>Revenue_Optic_2!X5</f>
        <v>0</v>
      </c>
      <c r="Z8" s="109">
        <f>Revenue_Optic_2!Y5</f>
        <v>0</v>
      </c>
      <c r="AA8" s="109">
        <f>Revenue_Optic_2!Z5</f>
        <v>0</v>
      </c>
      <c r="AB8" s="109">
        <f>Revenue_Optic_2!AA5</f>
        <v>0</v>
      </c>
      <c r="AC8" s="109">
        <f>Revenue_Optic_2!AB5</f>
        <v>0</v>
      </c>
      <c r="AD8" s="109">
        <f>Revenue_Optic_2!AC5</f>
        <v>0</v>
      </c>
      <c r="AE8" s="109">
        <f>Revenue_Optic_2!AD5</f>
        <v>0</v>
      </c>
      <c r="AF8" s="109">
        <f>Revenue_Optic_2!AE5</f>
        <v>0</v>
      </c>
      <c r="AG8" s="109">
        <f>Revenue_Optic_2!AF5</f>
        <v>0</v>
      </c>
      <c r="AH8" s="109">
        <f>Revenue_Optic_2!AG5</f>
        <v>0</v>
      </c>
      <c r="AI8" s="109">
        <f>Revenue_Optic_2!AH5</f>
        <v>0</v>
      </c>
      <c r="AJ8" s="109">
        <f>Revenue_Optic_2!AI5</f>
        <v>0</v>
      </c>
      <c r="AK8" s="109">
        <f>Revenue_Optic_2!AJ5</f>
        <v>0</v>
      </c>
      <c r="AL8" s="109">
        <f>Revenue_Optic_2!AK5</f>
        <v>0</v>
      </c>
      <c r="AM8" s="109">
        <f>Revenue_Optic_2!AL5</f>
        <v>0</v>
      </c>
      <c r="AN8" s="109">
        <f>Revenue_Optic_2!AM5</f>
        <v>0</v>
      </c>
      <c r="AO8" s="109">
        <f>Revenue_Optic_2!AN5</f>
        <v>0</v>
      </c>
      <c r="AP8" s="109">
        <f>Revenue_Optic_2!AO5</f>
        <v>0</v>
      </c>
      <c r="AQ8" s="109">
        <f>Revenue_Optic_2!AP5</f>
        <v>0</v>
      </c>
      <c r="AR8" s="109">
        <f>Revenue_Optic_2!AQ5</f>
        <v>0</v>
      </c>
      <c r="AS8" s="71"/>
      <c r="AT8" s="71"/>
      <c r="AU8" s="71"/>
      <c r="AV8" s="71"/>
      <c r="AW8" s="71"/>
      <c r="AX8" s="71"/>
      <c r="AY8" s="71"/>
      <c r="AZ8" s="71"/>
      <c r="BA8" s="71"/>
    </row>
    <row r="9" spans="1:53" s="56" customFormat="1" ht="21" hidden="1" customHeight="1" outlineLevel="2">
      <c r="A9" s="95" t="s">
        <v>210</v>
      </c>
      <c r="B9" s="113"/>
      <c r="C9" s="100"/>
      <c r="D9" s="87">
        <f t="shared" ref="D9:D11" si="0">SUMIF($I$7:$AR$7,$D$6,$I9:$AR9)</f>
        <v>0</v>
      </c>
      <c r="E9" s="87">
        <f t="shared" ref="E9:E11" si="1">SUMIF($I$7:$AR$7,$E$6,$I9:$AR9)</f>
        <v>0</v>
      </c>
      <c r="F9" s="87">
        <f t="shared" ref="F9:F11" si="2">SUMIF($I$7:$AR$7,$F$6,$I9:$AR9)</f>
        <v>0</v>
      </c>
      <c r="G9" s="88">
        <f t="shared" ref="G9:H11" si="3">IFERROR(E9/D9-1,0)</f>
        <v>0</v>
      </c>
      <c r="H9" s="88">
        <f t="shared" si="3"/>
        <v>0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71"/>
      <c r="AT9" s="71"/>
      <c r="AU9" s="71"/>
      <c r="AV9" s="71"/>
      <c r="AW9" s="71"/>
      <c r="AX9" s="71"/>
      <c r="AY9" s="71"/>
      <c r="AZ9" s="71"/>
      <c r="BA9" s="71"/>
    </row>
    <row r="10" spans="1:53" s="79" customFormat="1" ht="21" customHeight="1" collapsed="1">
      <c r="A10" s="96" t="s">
        <v>211</v>
      </c>
      <c r="B10" s="114"/>
      <c r="C10" s="101"/>
      <c r="D10" s="89">
        <f t="shared" si="0"/>
        <v>0</v>
      </c>
      <c r="E10" s="89">
        <f t="shared" si="1"/>
        <v>0</v>
      </c>
      <c r="F10" s="89">
        <f t="shared" si="2"/>
        <v>0</v>
      </c>
      <c r="G10" s="88">
        <f t="shared" si="3"/>
        <v>0</v>
      </c>
      <c r="H10" s="88">
        <f t="shared" si="3"/>
        <v>0</v>
      </c>
      <c r="I10" s="89">
        <f>I11</f>
        <v>0</v>
      </c>
      <c r="J10" s="89">
        <f t="shared" ref="J10:AR10" si="4">J11</f>
        <v>0</v>
      </c>
      <c r="K10" s="89">
        <f t="shared" si="4"/>
        <v>0</v>
      </c>
      <c r="L10" s="89">
        <f t="shared" si="4"/>
        <v>0</v>
      </c>
      <c r="M10" s="89">
        <f t="shared" si="4"/>
        <v>0</v>
      </c>
      <c r="N10" s="89">
        <f t="shared" si="4"/>
        <v>0</v>
      </c>
      <c r="O10" s="89">
        <f t="shared" si="4"/>
        <v>0</v>
      </c>
      <c r="P10" s="89">
        <f t="shared" si="4"/>
        <v>0</v>
      </c>
      <c r="Q10" s="89">
        <f t="shared" si="4"/>
        <v>0</v>
      </c>
      <c r="R10" s="89">
        <f t="shared" si="4"/>
        <v>0</v>
      </c>
      <c r="S10" s="89">
        <f t="shared" si="4"/>
        <v>0</v>
      </c>
      <c r="T10" s="89">
        <f t="shared" si="4"/>
        <v>0</v>
      </c>
      <c r="U10" s="89">
        <f t="shared" si="4"/>
        <v>0</v>
      </c>
      <c r="V10" s="89">
        <f t="shared" si="4"/>
        <v>0</v>
      </c>
      <c r="W10" s="89">
        <f t="shared" si="4"/>
        <v>0</v>
      </c>
      <c r="X10" s="89">
        <f t="shared" si="4"/>
        <v>0</v>
      </c>
      <c r="Y10" s="89">
        <f t="shared" si="4"/>
        <v>0</v>
      </c>
      <c r="Z10" s="89">
        <f t="shared" si="4"/>
        <v>0</v>
      </c>
      <c r="AA10" s="89">
        <f t="shared" si="4"/>
        <v>0</v>
      </c>
      <c r="AB10" s="89">
        <f t="shared" si="4"/>
        <v>0</v>
      </c>
      <c r="AC10" s="89">
        <f t="shared" si="4"/>
        <v>0</v>
      </c>
      <c r="AD10" s="89">
        <f t="shared" si="4"/>
        <v>0</v>
      </c>
      <c r="AE10" s="89">
        <f t="shared" si="4"/>
        <v>0</v>
      </c>
      <c r="AF10" s="89">
        <f t="shared" si="4"/>
        <v>0</v>
      </c>
      <c r="AG10" s="89">
        <f t="shared" si="4"/>
        <v>0</v>
      </c>
      <c r="AH10" s="89">
        <f t="shared" si="4"/>
        <v>0</v>
      </c>
      <c r="AI10" s="89">
        <f t="shared" si="4"/>
        <v>0</v>
      </c>
      <c r="AJ10" s="89">
        <f t="shared" si="4"/>
        <v>0</v>
      </c>
      <c r="AK10" s="89">
        <f t="shared" si="4"/>
        <v>0</v>
      </c>
      <c r="AL10" s="89">
        <f t="shared" si="4"/>
        <v>0</v>
      </c>
      <c r="AM10" s="89">
        <f t="shared" si="4"/>
        <v>0</v>
      </c>
      <c r="AN10" s="89">
        <f t="shared" si="4"/>
        <v>0</v>
      </c>
      <c r="AO10" s="89">
        <f t="shared" si="4"/>
        <v>0</v>
      </c>
      <c r="AP10" s="89">
        <f t="shared" si="4"/>
        <v>0</v>
      </c>
      <c r="AQ10" s="89">
        <f t="shared" si="4"/>
        <v>0</v>
      </c>
      <c r="AR10" s="89">
        <f t="shared" si="4"/>
        <v>0</v>
      </c>
      <c r="AS10" s="71"/>
      <c r="AT10" s="71"/>
      <c r="AU10" s="71"/>
      <c r="AV10" s="71"/>
      <c r="AW10" s="71"/>
      <c r="AX10" s="71"/>
      <c r="AY10" s="71"/>
      <c r="AZ10" s="71"/>
      <c r="BA10" s="71"/>
    </row>
    <row r="11" spans="1:53" s="56" customFormat="1" ht="21" customHeight="1" outlineLevel="1">
      <c r="A11" s="97" t="s">
        <v>2</v>
      </c>
      <c r="B11" s="115">
        <v>0.41</v>
      </c>
      <c r="C11" s="102"/>
      <c r="D11" s="87">
        <f t="shared" si="0"/>
        <v>0</v>
      </c>
      <c r="E11" s="87">
        <f t="shared" si="1"/>
        <v>0</v>
      </c>
      <c r="F11" s="87">
        <f t="shared" si="2"/>
        <v>0</v>
      </c>
      <c r="G11" s="88">
        <f t="shared" si="3"/>
        <v>0</v>
      </c>
      <c r="H11" s="88">
        <f t="shared" si="3"/>
        <v>0</v>
      </c>
      <c r="I11" s="87">
        <f>I8*$C$11</f>
        <v>0</v>
      </c>
      <c r="J11" s="87">
        <f t="shared" ref="J11:AR11" si="5">J8*$C$11</f>
        <v>0</v>
      </c>
      <c r="K11" s="87">
        <f t="shared" si="5"/>
        <v>0</v>
      </c>
      <c r="L11" s="87">
        <f t="shared" si="5"/>
        <v>0</v>
      </c>
      <c r="M11" s="87">
        <f t="shared" si="5"/>
        <v>0</v>
      </c>
      <c r="N11" s="87">
        <f t="shared" si="5"/>
        <v>0</v>
      </c>
      <c r="O11" s="87">
        <f t="shared" si="5"/>
        <v>0</v>
      </c>
      <c r="P11" s="87">
        <f t="shared" si="5"/>
        <v>0</v>
      </c>
      <c r="Q11" s="87">
        <f t="shared" si="5"/>
        <v>0</v>
      </c>
      <c r="R11" s="87">
        <f t="shared" si="5"/>
        <v>0</v>
      </c>
      <c r="S11" s="87">
        <f t="shared" si="5"/>
        <v>0</v>
      </c>
      <c r="T11" s="87">
        <f t="shared" si="5"/>
        <v>0</v>
      </c>
      <c r="U11" s="87">
        <f t="shared" si="5"/>
        <v>0</v>
      </c>
      <c r="V11" s="87">
        <f t="shared" si="5"/>
        <v>0</v>
      </c>
      <c r="W11" s="87">
        <f t="shared" si="5"/>
        <v>0</v>
      </c>
      <c r="X11" s="87">
        <f t="shared" si="5"/>
        <v>0</v>
      </c>
      <c r="Y11" s="87">
        <f t="shared" si="5"/>
        <v>0</v>
      </c>
      <c r="Z11" s="87">
        <f t="shared" si="5"/>
        <v>0</v>
      </c>
      <c r="AA11" s="87">
        <f t="shared" si="5"/>
        <v>0</v>
      </c>
      <c r="AB11" s="87">
        <f t="shared" si="5"/>
        <v>0</v>
      </c>
      <c r="AC11" s="87">
        <f t="shared" si="5"/>
        <v>0</v>
      </c>
      <c r="AD11" s="87">
        <f t="shared" si="5"/>
        <v>0</v>
      </c>
      <c r="AE11" s="87">
        <f t="shared" si="5"/>
        <v>0</v>
      </c>
      <c r="AF11" s="87">
        <f t="shared" si="5"/>
        <v>0</v>
      </c>
      <c r="AG11" s="87">
        <f t="shared" si="5"/>
        <v>0</v>
      </c>
      <c r="AH11" s="87">
        <f t="shared" si="5"/>
        <v>0</v>
      </c>
      <c r="AI11" s="87">
        <f t="shared" si="5"/>
        <v>0</v>
      </c>
      <c r="AJ11" s="87">
        <f t="shared" si="5"/>
        <v>0</v>
      </c>
      <c r="AK11" s="87">
        <f t="shared" si="5"/>
        <v>0</v>
      </c>
      <c r="AL11" s="87">
        <f t="shared" si="5"/>
        <v>0</v>
      </c>
      <c r="AM11" s="87">
        <f t="shared" si="5"/>
        <v>0</v>
      </c>
      <c r="AN11" s="87">
        <f t="shared" si="5"/>
        <v>0</v>
      </c>
      <c r="AO11" s="87">
        <f t="shared" si="5"/>
        <v>0</v>
      </c>
      <c r="AP11" s="87">
        <f t="shared" si="5"/>
        <v>0</v>
      </c>
      <c r="AQ11" s="87">
        <f t="shared" si="5"/>
        <v>0</v>
      </c>
      <c r="AR11" s="87">
        <f t="shared" si="5"/>
        <v>0</v>
      </c>
      <c r="AS11" s="71"/>
      <c r="AT11" s="71"/>
      <c r="AU11" s="71"/>
      <c r="AV11" s="71"/>
      <c r="AW11" s="71"/>
      <c r="AX11" s="71"/>
      <c r="AY11" s="71"/>
      <c r="AZ11" s="71"/>
      <c r="BA11" s="71"/>
    </row>
    <row r="12" spans="1:53" s="79" customFormat="1" ht="21" customHeight="1">
      <c r="A12" s="107" t="s">
        <v>213</v>
      </c>
      <c r="B12" s="112"/>
      <c r="C12" s="108"/>
      <c r="D12" s="109">
        <f>SUMIF($I$7:$AR$7,$D$6,$I12:$AR12)</f>
        <v>0</v>
      </c>
      <c r="E12" s="109">
        <f>SUMIF($I$7:$AR$7,$E$6,$I12:$AR12)</f>
        <v>0</v>
      </c>
      <c r="F12" s="109">
        <f>SUMIF($I$7:$AR$7,$F$6,$I12:$AR12)</f>
        <v>0</v>
      </c>
      <c r="G12" s="110">
        <f>IFERROR(E12/D12-1,0)</f>
        <v>0</v>
      </c>
      <c r="H12" s="110">
        <f>IFERROR(F12/E12-1,0)</f>
        <v>0</v>
      </c>
      <c r="I12" s="109">
        <f t="shared" ref="I12:AR12" si="6">I8-I10</f>
        <v>0</v>
      </c>
      <c r="J12" s="109">
        <f t="shared" si="6"/>
        <v>0</v>
      </c>
      <c r="K12" s="109">
        <f t="shared" si="6"/>
        <v>0</v>
      </c>
      <c r="L12" s="109">
        <f t="shared" si="6"/>
        <v>0</v>
      </c>
      <c r="M12" s="109">
        <f t="shared" si="6"/>
        <v>0</v>
      </c>
      <c r="N12" s="109">
        <f t="shared" si="6"/>
        <v>0</v>
      </c>
      <c r="O12" s="109">
        <f t="shared" si="6"/>
        <v>0</v>
      </c>
      <c r="P12" s="109">
        <f t="shared" si="6"/>
        <v>0</v>
      </c>
      <c r="Q12" s="109">
        <f t="shared" si="6"/>
        <v>0</v>
      </c>
      <c r="R12" s="109">
        <f t="shared" si="6"/>
        <v>0</v>
      </c>
      <c r="S12" s="109">
        <f t="shared" si="6"/>
        <v>0</v>
      </c>
      <c r="T12" s="109">
        <f t="shared" si="6"/>
        <v>0</v>
      </c>
      <c r="U12" s="109">
        <f t="shared" si="6"/>
        <v>0</v>
      </c>
      <c r="V12" s="109">
        <f t="shared" si="6"/>
        <v>0</v>
      </c>
      <c r="W12" s="109">
        <f t="shared" si="6"/>
        <v>0</v>
      </c>
      <c r="X12" s="109">
        <f t="shared" si="6"/>
        <v>0</v>
      </c>
      <c r="Y12" s="109">
        <f t="shared" si="6"/>
        <v>0</v>
      </c>
      <c r="Z12" s="109">
        <f t="shared" si="6"/>
        <v>0</v>
      </c>
      <c r="AA12" s="109">
        <f t="shared" si="6"/>
        <v>0</v>
      </c>
      <c r="AB12" s="109">
        <f t="shared" si="6"/>
        <v>0</v>
      </c>
      <c r="AC12" s="109">
        <f t="shared" si="6"/>
        <v>0</v>
      </c>
      <c r="AD12" s="109">
        <f t="shared" si="6"/>
        <v>0</v>
      </c>
      <c r="AE12" s="109">
        <f t="shared" si="6"/>
        <v>0</v>
      </c>
      <c r="AF12" s="109">
        <f t="shared" si="6"/>
        <v>0</v>
      </c>
      <c r="AG12" s="109">
        <f t="shared" si="6"/>
        <v>0</v>
      </c>
      <c r="AH12" s="109">
        <f t="shared" si="6"/>
        <v>0</v>
      </c>
      <c r="AI12" s="109">
        <f t="shared" si="6"/>
        <v>0</v>
      </c>
      <c r="AJ12" s="109">
        <f t="shared" si="6"/>
        <v>0</v>
      </c>
      <c r="AK12" s="109">
        <f t="shared" si="6"/>
        <v>0</v>
      </c>
      <c r="AL12" s="109">
        <f t="shared" si="6"/>
        <v>0</v>
      </c>
      <c r="AM12" s="109">
        <f t="shared" si="6"/>
        <v>0</v>
      </c>
      <c r="AN12" s="109">
        <f t="shared" si="6"/>
        <v>0</v>
      </c>
      <c r="AO12" s="109">
        <f t="shared" si="6"/>
        <v>0</v>
      </c>
      <c r="AP12" s="109">
        <f t="shared" si="6"/>
        <v>0</v>
      </c>
      <c r="AQ12" s="109">
        <f t="shared" si="6"/>
        <v>0</v>
      </c>
      <c r="AR12" s="109">
        <f t="shared" si="6"/>
        <v>0</v>
      </c>
      <c r="AS12" s="71"/>
      <c r="AT12" s="71"/>
      <c r="AU12" s="71"/>
      <c r="AV12" s="71"/>
      <c r="AW12" s="71"/>
      <c r="AX12" s="71"/>
      <c r="AY12" s="71"/>
      <c r="AZ12" s="71"/>
      <c r="BA12" s="71"/>
    </row>
    <row r="13" spans="1:53" s="71" customFormat="1" ht="21" customHeight="1">
      <c r="A13" s="98" t="s">
        <v>212</v>
      </c>
      <c r="B13" s="116"/>
      <c r="C13" s="103"/>
      <c r="D13" s="90">
        <f t="shared" ref="D13:F13" si="7">IFERROR(D12/D8,0)</f>
        <v>0</v>
      </c>
      <c r="E13" s="90">
        <f t="shared" si="7"/>
        <v>0</v>
      </c>
      <c r="F13" s="90">
        <f t="shared" si="7"/>
        <v>0</v>
      </c>
      <c r="G13" s="91">
        <f>E13-D13</f>
        <v>0</v>
      </c>
      <c r="H13" s="91">
        <f>F13-E13</f>
        <v>0</v>
      </c>
      <c r="I13" s="90">
        <f t="shared" ref="I13:AR13" si="8">IFERROR(I12/I8,0)</f>
        <v>0</v>
      </c>
      <c r="J13" s="90">
        <f t="shared" si="8"/>
        <v>0</v>
      </c>
      <c r="K13" s="90">
        <f t="shared" si="8"/>
        <v>0</v>
      </c>
      <c r="L13" s="90">
        <f t="shared" si="8"/>
        <v>0</v>
      </c>
      <c r="M13" s="90">
        <f t="shared" si="8"/>
        <v>0</v>
      </c>
      <c r="N13" s="90">
        <f t="shared" si="8"/>
        <v>0</v>
      </c>
      <c r="O13" s="90">
        <f t="shared" si="8"/>
        <v>0</v>
      </c>
      <c r="P13" s="90">
        <f t="shared" si="8"/>
        <v>0</v>
      </c>
      <c r="Q13" s="90">
        <f t="shared" si="8"/>
        <v>0</v>
      </c>
      <c r="R13" s="90">
        <f t="shared" si="8"/>
        <v>0</v>
      </c>
      <c r="S13" s="90">
        <f t="shared" si="8"/>
        <v>0</v>
      </c>
      <c r="T13" s="90">
        <f t="shared" si="8"/>
        <v>0</v>
      </c>
      <c r="U13" s="90">
        <f t="shared" si="8"/>
        <v>0</v>
      </c>
      <c r="V13" s="90">
        <f t="shared" si="8"/>
        <v>0</v>
      </c>
      <c r="W13" s="90">
        <f t="shared" si="8"/>
        <v>0</v>
      </c>
      <c r="X13" s="90">
        <f t="shared" si="8"/>
        <v>0</v>
      </c>
      <c r="Y13" s="90">
        <f t="shared" si="8"/>
        <v>0</v>
      </c>
      <c r="Z13" s="90">
        <f t="shared" si="8"/>
        <v>0</v>
      </c>
      <c r="AA13" s="90">
        <f t="shared" si="8"/>
        <v>0</v>
      </c>
      <c r="AB13" s="90">
        <f t="shared" si="8"/>
        <v>0</v>
      </c>
      <c r="AC13" s="90">
        <f t="shared" si="8"/>
        <v>0</v>
      </c>
      <c r="AD13" s="90">
        <f t="shared" si="8"/>
        <v>0</v>
      </c>
      <c r="AE13" s="90">
        <f t="shared" si="8"/>
        <v>0</v>
      </c>
      <c r="AF13" s="90">
        <f t="shared" si="8"/>
        <v>0</v>
      </c>
      <c r="AG13" s="90">
        <f t="shared" si="8"/>
        <v>0</v>
      </c>
      <c r="AH13" s="90">
        <f t="shared" si="8"/>
        <v>0</v>
      </c>
      <c r="AI13" s="90">
        <f t="shared" si="8"/>
        <v>0</v>
      </c>
      <c r="AJ13" s="90">
        <f t="shared" si="8"/>
        <v>0</v>
      </c>
      <c r="AK13" s="90">
        <f t="shared" si="8"/>
        <v>0</v>
      </c>
      <c r="AL13" s="90">
        <f t="shared" si="8"/>
        <v>0</v>
      </c>
      <c r="AM13" s="90">
        <f t="shared" si="8"/>
        <v>0</v>
      </c>
      <c r="AN13" s="90">
        <f t="shared" si="8"/>
        <v>0</v>
      </c>
      <c r="AO13" s="90">
        <f t="shared" si="8"/>
        <v>0</v>
      </c>
      <c r="AP13" s="90">
        <f t="shared" si="8"/>
        <v>0</v>
      </c>
      <c r="AQ13" s="90">
        <f t="shared" si="8"/>
        <v>0</v>
      </c>
      <c r="AR13" s="90">
        <f t="shared" si="8"/>
        <v>0</v>
      </c>
    </row>
    <row r="14" spans="1:53" s="80" customFormat="1" ht="21" customHeight="1">
      <c r="A14" s="96" t="s">
        <v>214</v>
      </c>
      <c r="B14" s="117"/>
      <c r="C14" s="190"/>
      <c r="D14" s="87">
        <f t="shared" ref="D14" si="9">SUMIF($I$7:$AR$7,$D$6,$I14:$AR14)</f>
        <v>0</v>
      </c>
      <c r="E14" s="87">
        <f t="shared" ref="E14" si="10">SUMIF($I$7:$AR$7,$E$6,$I14:$AR14)</f>
        <v>0</v>
      </c>
      <c r="F14" s="87">
        <f t="shared" ref="F14" si="11">SUMIF($I$7:$AR$7,$F$6,$I14:$AR14)</f>
        <v>0</v>
      </c>
      <c r="G14" s="88"/>
      <c r="H14" s="88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71"/>
      <c r="AT14" s="71"/>
      <c r="AU14" s="71"/>
      <c r="AV14" s="71"/>
      <c r="AW14" s="71"/>
      <c r="AX14" s="71"/>
      <c r="AY14" s="71"/>
      <c r="AZ14" s="71"/>
      <c r="BA14" s="71"/>
    </row>
    <row r="15" spans="1:53" s="79" customFormat="1" ht="21" customHeight="1">
      <c r="A15" s="107" t="s">
        <v>135</v>
      </c>
      <c r="B15" s="112"/>
      <c r="C15" s="108"/>
      <c r="D15" s="109">
        <f>SUMIF($I$7:$AR$7,$D$6,$I15:$AR15)</f>
        <v>0</v>
      </c>
      <c r="E15" s="109">
        <f>SUMIF($I$7:$AR$7,$E$6,$I15:$AR15)</f>
        <v>0</v>
      </c>
      <c r="F15" s="109">
        <f>SUMIF($I$7:$AR$7,$F$6,$I15:$AR15)</f>
        <v>0</v>
      </c>
      <c r="G15" s="110">
        <f>IFERROR(E15/D15-1,0)</f>
        <v>0</v>
      </c>
      <c r="H15" s="110">
        <f>IFERROR(F15/E15-1,0)</f>
        <v>0</v>
      </c>
      <c r="I15" s="109">
        <f t="shared" ref="I15:AR15" si="12">I12-I14</f>
        <v>0</v>
      </c>
      <c r="J15" s="109">
        <f t="shared" si="12"/>
        <v>0</v>
      </c>
      <c r="K15" s="109">
        <f t="shared" si="12"/>
        <v>0</v>
      </c>
      <c r="L15" s="109">
        <f t="shared" si="12"/>
        <v>0</v>
      </c>
      <c r="M15" s="109">
        <f t="shared" si="12"/>
        <v>0</v>
      </c>
      <c r="N15" s="109">
        <f t="shared" si="12"/>
        <v>0</v>
      </c>
      <c r="O15" s="109">
        <f t="shared" si="12"/>
        <v>0</v>
      </c>
      <c r="P15" s="109">
        <f t="shared" si="12"/>
        <v>0</v>
      </c>
      <c r="Q15" s="109">
        <f t="shared" si="12"/>
        <v>0</v>
      </c>
      <c r="R15" s="109">
        <f t="shared" si="12"/>
        <v>0</v>
      </c>
      <c r="S15" s="109">
        <f t="shared" si="12"/>
        <v>0</v>
      </c>
      <c r="T15" s="109">
        <f t="shared" si="12"/>
        <v>0</v>
      </c>
      <c r="U15" s="109">
        <f t="shared" si="12"/>
        <v>0</v>
      </c>
      <c r="V15" s="109">
        <f t="shared" si="12"/>
        <v>0</v>
      </c>
      <c r="W15" s="109">
        <f t="shared" si="12"/>
        <v>0</v>
      </c>
      <c r="X15" s="109">
        <f t="shared" si="12"/>
        <v>0</v>
      </c>
      <c r="Y15" s="109">
        <f t="shared" si="12"/>
        <v>0</v>
      </c>
      <c r="Z15" s="109">
        <f t="shared" si="12"/>
        <v>0</v>
      </c>
      <c r="AA15" s="109">
        <f t="shared" si="12"/>
        <v>0</v>
      </c>
      <c r="AB15" s="109">
        <f t="shared" si="12"/>
        <v>0</v>
      </c>
      <c r="AC15" s="109">
        <f t="shared" si="12"/>
        <v>0</v>
      </c>
      <c r="AD15" s="109">
        <f t="shared" si="12"/>
        <v>0</v>
      </c>
      <c r="AE15" s="109">
        <f t="shared" si="12"/>
        <v>0</v>
      </c>
      <c r="AF15" s="109">
        <f t="shared" si="12"/>
        <v>0</v>
      </c>
      <c r="AG15" s="109">
        <f t="shared" si="12"/>
        <v>0</v>
      </c>
      <c r="AH15" s="109">
        <f t="shared" si="12"/>
        <v>0</v>
      </c>
      <c r="AI15" s="109">
        <f t="shared" si="12"/>
        <v>0</v>
      </c>
      <c r="AJ15" s="109">
        <f t="shared" si="12"/>
        <v>0</v>
      </c>
      <c r="AK15" s="109">
        <f t="shared" si="12"/>
        <v>0</v>
      </c>
      <c r="AL15" s="109">
        <f t="shared" si="12"/>
        <v>0</v>
      </c>
      <c r="AM15" s="109">
        <f t="shared" si="12"/>
        <v>0</v>
      </c>
      <c r="AN15" s="109">
        <f t="shared" si="12"/>
        <v>0</v>
      </c>
      <c r="AO15" s="109">
        <f t="shared" si="12"/>
        <v>0</v>
      </c>
      <c r="AP15" s="109">
        <f t="shared" si="12"/>
        <v>0</v>
      </c>
      <c r="AQ15" s="109">
        <f t="shared" si="12"/>
        <v>0</v>
      </c>
      <c r="AR15" s="109">
        <f t="shared" si="12"/>
        <v>0</v>
      </c>
      <c r="AS15" s="71"/>
      <c r="AT15" s="71"/>
      <c r="AU15" s="71"/>
      <c r="AV15" s="71"/>
      <c r="AW15" s="71"/>
      <c r="AX15" s="71"/>
      <c r="AY15" s="71"/>
      <c r="AZ15" s="71"/>
      <c r="BA15" s="71"/>
    </row>
    <row r="16" spans="1:53" s="71" customFormat="1" ht="21" customHeight="1">
      <c r="A16" s="98" t="s">
        <v>212</v>
      </c>
      <c r="B16" s="123"/>
      <c r="C16" s="103"/>
      <c r="D16" s="90" t="str">
        <f t="shared" ref="D16:F16" si="13">IFERROR(D15/D8,"")</f>
        <v/>
      </c>
      <c r="E16" s="90" t="str">
        <f t="shared" si="13"/>
        <v/>
      </c>
      <c r="F16" s="90" t="str">
        <f t="shared" si="13"/>
        <v/>
      </c>
      <c r="G16" s="91" t="e">
        <f>E16-D16</f>
        <v>#VALUE!</v>
      </c>
      <c r="H16" s="91" t="e">
        <f>F16-E16</f>
        <v>#VALUE!</v>
      </c>
      <c r="I16" s="90">
        <f t="shared" ref="I16:AR16" si="14">IFERROR(I15/I8,0)</f>
        <v>0</v>
      </c>
      <c r="J16" s="90">
        <f t="shared" si="14"/>
        <v>0</v>
      </c>
      <c r="K16" s="90">
        <f t="shared" si="14"/>
        <v>0</v>
      </c>
      <c r="L16" s="90">
        <f t="shared" si="14"/>
        <v>0</v>
      </c>
      <c r="M16" s="90">
        <f t="shared" si="14"/>
        <v>0</v>
      </c>
      <c r="N16" s="90">
        <f t="shared" si="14"/>
        <v>0</v>
      </c>
      <c r="O16" s="90">
        <f t="shared" si="14"/>
        <v>0</v>
      </c>
      <c r="P16" s="90">
        <f t="shared" si="14"/>
        <v>0</v>
      </c>
      <c r="Q16" s="90">
        <f t="shared" si="14"/>
        <v>0</v>
      </c>
      <c r="R16" s="90">
        <f t="shared" si="14"/>
        <v>0</v>
      </c>
      <c r="S16" s="90">
        <f t="shared" si="14"/>
        <v>0</v>
      </c>
      <c r="T16" s="90">
        <f t="shared" si="14"/>
        <v>0</v>
      </c>
      <c r="U16" s="90">
        <f t="shared" si="14"/>
        <v>0</v>
      </c>
      <c r="V16" s="90">
        <f t="shared" si="14"/>
        <v>0</v>
      </c>
      <c r="W16" s="90">
        <f t="shared" si="14"/>
        <v>0</v>
      </c>
      <c r="X16" s="90">
        <f t="shared" si="14"/>
        <v>0</v>
      </c>
      <c r="Y16" s="90">
        <f t="shared" si="14"/>
        <v>0</v>
      </c>
      <c r="Z16" s="90">
        <f t="shared" si="14"/>
        <v>0</v>
      </c>
      <c r="AA16" s="90">
        <f t="shared" si="14"/>
        <v>0</v>
      </c>
      <c r="AB16" s="90">
        <f t="shared" si="14"/>
        <v>0</v>
      </c>
      <c r="AC16" s="90">
        <f t="shared" si="14"/>
        <v>0</v>
      </c>
      <c r="AD16" s="90">
        <f t="shared" si="14"/>
        <v>0</v>
      </c>
      <c r="AE16" s="90">
        <f t="shared" si="14"/>
        <v>0</v>
      </c>
      <c r="AF16" s="90">
        <f t="shared" si="14"/>
        <v>0</v>
      </c>
      <c r="AG16" s="90">
        <f t="shared" si="14"/>
        <v>0</v>
      </c>
      <c r="AH16" s="90">
        <f t="shared" si="14"/>
        <v>0</v>
      </c>
      <c r="AI16" s="90">
        <f t="shared" si="14"/>
        <v>0</v>
      </c>
      <c r="AJ16" s="90">
        <f t="shared" si="14"/>
        <v>0</v>
      </c>
      <c r="AK16" s="90">
        <f t="shared" si="14"/>
        <v>0</v>
      </c>
      <c r="AL16" s="90">
        <f t="shared" si="14"/>
        <v>0</v>
      </c>
      <c r="AM16" s="90">
        <f t="shared" si="14"/>
        <v>0</v>
      </c>
      <c r="AN16" s="90">
        <f t="shared" si="14"/>
        <v>0</v>
      </c>
      <c r="AO16" s="90">
        <f t="shared" si="14"/>
        <v>0</v>
      </c>
      <c r="AP16" s="90">
        <f t="shared" si="14"/>
        <v>0</v>
      </c>
      <c r="AQ16" s="90">
        <f t="shared" si="14"/>
        <v>0</v>
      </c>
      <c r="AR16" s="90">
        <f t="shared" si="14"/>
        <v>0</v>
      </c>
    </row>
    <row r="17" spans="1:53" s="79" customFormat="1" ht="21" customHeight="1">
      <c r="A17" s="96" t="s">
        <v>215</v>
      </c>
      <c r="B17" s="124"/>
      <c r="C17" s="101"/>
      <c r="D17" s="89">
        <f t="shared" ref="D17" ca="1" si="15">SUM(D18:D20)</f>
        <v>0</v>
      </c>
      <c r="E17" s="89">
        <f t="shared" ref="E17:F17" ca="1" si="16">SUM(E18:E20)</f>
        <v>0</v>
      </c>
      <c r="F17" s="89">
        <f t="shared" ca="1" si="16"/>
        <v>0</v>
      </c>
      <c r="G17" s="92">
        <f t="shared" ref="G17:H20" ca="1" si="17">IFERROR(E17/D17-1,0)</f>
        <v>0</v>
      </c>
      <c r="H17" s="92">
        <f t="shared" ca="1" si="17"/>
        <v>0</v>
      </c>
      <c r="I17" s="89">
        <f t="shared" ref="I17:AR17" ca="1" si="18">SUM(I18:I20)</f>
        <v>0</v>
      </c>
      <c r="J17" s="89">
        <f t="shared" ca="1" si="18"/>
        <v>0</v>
      </c>
      <c r="K17" s="89">
        <f t="shared" ca="1" si="18"/>
        <v>0</v>
      </c>
      <c r="L17" s="89">
        <f t="shared" ca="1" si="18"/>
        <v>0</v>
      </c>
      <c r="M17" s="89">
        <f t="shared" ca="1" si="18"/>
        <v>0</v>
      </c>
      <c r="N17" s="89">
        <f t="shared" ca="1" si="18"/>
        <v>0</v>
      </c>
      <c r="O17" s="89">
        <f t="shared" ca="1" si="18"/>
        <v>0</v>
      </c>
      <c r="P17" s="89">
        <f t="shared" ca="1" si="18"/>
        <v>0</v>
      </c>
      <c r="Q17" s="89">
        <f t="shared" ca="1" si="18"/>
        <v>0</v>
      </c>
      <c r="R17" s="89">
        <f t="shared" ca="1" si="18"/>
        <v>0</v>
      </c>
      <c r="S17" s="89">
        <f t="shared" ca="1" si="18"/>
        <v>0</v>
      </c>
      <c r="T17" s="89">
        <f t="shared" ca="1" si="18"/>
        <v>0</v>
      </c>
      <c r="U17" s="89">
        <f t="shared" ca="1" si="18"/>
        <v>0</v>
      </c>
      <c r="V17" s="89">
        <f t="shared" ca="1" si="18"/>
        <v>0</v>
      </c>
      <c r="W17" s="89">
        <f t="shared" ca="1" si="18"/>
        <v>0</v>
      </c>
      <c r="X17" s="89">
        <f t="shared" ca="1" si="18"/>
        <v>0</v>
      </c>
      <c r="Y17" s="89">
        <f t="shared" ca="1" si="18"/>
        <v>0</v>
      </c>
      <c r="Z17" s="89">
        <f t="shared" ca="1" si="18"/>
        <v>0</v>
      </c>
      <c r="AA17" s="89">
        <f t="shared" ca="1" si="18"/>
        <v>0</v>
      </c>
      <c r="AB17" s="89">
        <f t="shared" ca="1" si="18"/>
        <v>0</v>
      </c>
      <c r="AC17" s="89">
        <f t="shared" ca="1" si="18"/>
        <v>0</v>
      </c>
      <c r="AD17" s="89">
        <f t="shared" ca="1" si="18"/>
        <v>0</v>
      </c>
      <c r="AE17" s="89">
        <f t="shared" ca="1" si="18"/>
        <v>0</v>
      </c>
      <c r="AF17" s="89">
        <f t="shared" ca="1" si="18"/>
        <v>0</v>
      </c>
      <c r="AG17" s="89">
        <f t="shared" ca="1" si="18"/>
        <v>0</v>
      </c>
      <c r="AH17" s="89">
        <f t="shared" ca="1" si="18"/>
        <v>0</v>
      </c>
      <c r="AI17" s="89">
        <f t="shared" ca="1" si="18"/>
        <v>0</v>
      </c>
      <c r="AJ17" s="89">
        <f t="shared" ca="1" si="18"/>
        <v>0</v>
      </c>
      <c r="AK17" s="89">
        <f t="shared" ca="1" si="18"/>
        <v>0</v>
      </c>
      <c r="AL17" s="89">
        <f t="shared" ca="1" si="18"/>
        <v>0</v>
      </c>
      <c r="AM17" s="89">
        <f t="shared" ca="1" si="18"/>
        <v>0</v>
      </c>
      <c r="AN17" s="89">
        <f t="shared" ca="1" si="18"/>
        <v>0</v>
      </c>
      <c r="AO17" s="89">
        <f t="shared" ca="1" si="18"/>
        <v>0</v>
      </c>
      <c r="AP17" s="89">
        <f t="shared" ca="1" si="18"/>
        <v>0</v>
      </c>
      <c r="AQ17" s="89">
        <f t="shared" ca="1" si="18"/>
        <v>0</v>
      </c>
      <c r="AR17" s="89">
        <f t="shared" ca="1" si="18"/>
        <v>0</v>
      </c>
      <c r="AS17" s="71"/>
      <c r="AT17" s="71"/>
      <c r="AU17" s="71"/>
      <c r="AV17" s="71"/>
      <c r="AW17" s="71"/>
      <c r="AX17" s="71"/>
      <c r="AY17" s="71"/>
      <c r="AZ17" s="71"/>
      <c r="BA17" s="71"/>
    </row>
    <row r="18" spans="1:53" s="56" customFormat="1" ht="21" customHeight="1" outlineLevel="1">
      <c r="A18" s="163" t="s">
        <v>216</v>
      </c>
      <c r="B18" s="125"/>
      <c r="C18" s="104"/>
      <c r="D18" s="336">
        <f t="shared" ref="D18:D20" si="19">SUMIF($I$7:$AR$7,$D$6,$I18:$AR18)</f>
        <v>0</v>
      </c>
      <c r="E18" s="336">
        <f t="shared" ref="E18:E20" si="20">SUMIF($I$7:$AR$7,$E$6,$I18:$AR18)</f>
        <v>0</v>
      </c>
      <c r="F18" s="336">
        <f t="shared" ref="F18:F20" si="21">SUMIF($I$7:$AR$7,$F$6,$I18:$AR18)</f>
        <v>0</v>
      </c>
      <c r="G18" s="93">
        <f t="shared" si="17"/>
        <v>0</v>
      </c>
      <c r="H18" s="93">
        <f t="shared" si="17"/>
        <v>0</v>
      </c>
      <c r="I18" s="87">
        <f>Payroll_Optic_2!M12</f>
        <v>0</v>
      </c>
      <c r="J18" s="87">
        <f>Payroll_Optic_2!N12</f>
        <v>0</v>
      </c>
      <c r="K18" s="87">
        <f>Payroll_Optic_2!O12</f>
        <v>0</v>
      </c>
      <c r="L18" s="87">
        <f>Payroll_Optic_2!P12</f>
        <v>0</v>
      </c>
      <c r="M18" s="87">
        <f>Payroll_Optic_2!Q12</f>
        <v>0</v>
      </c>
      <c r="N18" s="87">
        <f>Payroll_Optic_2!R12</f>
        <v>0</v>
      </c>
      <c r="O18" s="87">
        <f>Payroll_Optic_2!S12</f>
        <v>0</v>
      </c>
      <c r="P18" s="87">
        <f>Payroll_Optic_2!T12</f>
        <v>0</v>
      </c>
      <c r="Q18" s="87">
        <f>Payroll_Optic_2!U12</f>
        <v>0</v>
      </c>
      <c r="R18" s="87">
        <f>Payroll_Optic_2!V12</f>
        <v>0</v>
      </c>
      <c r="S18" s="87">
        <f>Payroll_Optic_2!W12</f>
        <v>0</v>
      </c>
      <c r="T18" s="87">
        <f>Payroll_Optic_2!X12</f>
        <v>0</v>
      </c>
      <c r="U18" s="87">
        <f>Payroll_Optic_2!Y12</f>
        <v>0</v>
      </c>
      <c r="V18" s="87">
        <f>Payroll_Optic_2!Z12</f>
        <v>0</v>
      </c>
      <c r="W18" s="87">
        <f>Payroll_Optic_2!AA12</f>
        <v>0</v>
      </c>
      <c r="X18" s="87">
        <f>Payroll_Optic_2!AB12</f>
        <v>0</v>
      </c>
      <c r="Y18" s="87">
        <f>Payroll_Optic_2!AC12</f>
        <v>0</v>
      </c>
      <c r="Z18" s="87">
        <f>Payroll_Optic_2!AD12</f>
        <v>0</v>
      </c>
      <c r="AA18" s="87">
        <f>Payroll_Optic_2!AE12</f>
        <v>0</v>
      </c>
      <c r="AB18" s="87">
        <f>Payroll_Optic_2!AF12</f>
        <v>0</v>
      </c>
      <c r="AC18" s="87">
        <f>Payroll_Optic_2!AG12</f>
        <v>0</v>
      </c>
      <c r="AD18" s="87">
        <f>Payroll_Optic_2!AH12</f>
        <v>0</v>
      </c>
      <c r="AE18" s="87">
        <f>Payroll_Optic_2!AI12</f>
        <v>0</v>
      </c>
      <c r="AF18" s="87">
        <f>Payroll_Optic_2!AJ12</f>
        <v>0</v>
      </c>
      <c r="AG18" s="87">
        <f>Payroll_Optic_2!AK12</f>
        <v>0</v>
      </c>
      <c r="AH18" s="87">
        <f>Payroll_Optic_2!AL12</f>
        <v>0</v>
      </c>
      <c r="AI18" s="87">
        <f>Payroll_Optic_2!AM12</f>
        <v>0</v>
      </c>
      <c r="AJ18" s="87">
        <f>Payroll_Optic_2!AN12</f>
        <v>0</v>
      </c>
      <c r="AK18" s="87">
        <f>Payroll_Optic_2!AO12</f>
        <v>0</v>
      </c>
      <c r="AL18" s="87">
        <f>Payroll_Optic_2!AP12</f>
        <v>0</v>
      </c>
      <c r="AM18" s="87">
        <f>Payroll_Optic_2!AQ12</f>
        <v>0</v>
      </c>
      <c r="AN18" s="87">
        <f>Payroll_Optic_2!AR12</f>
        <v>0</v>
      </c>
      <c r="AO18" s="87">
        <f>Payroll_Optic_2!AS12</f>
        <v>0</v>
      </c>
      <c r="AP18" s="87">
        <f>Payroll_Optic_2!AT12</f>
        <v>0</v>
      </c>
      <c r="AQ18" s="87">
        <f>Payroll_Optic_2!AU12</f>
        <v>0</v>
      </c>
      <c r="AR18" s="87">
        <f>Payroll_Optic_2!AV12</f>
        <v>0</v>
      </c>
      <c r="AS18" s="71"/>
      <c r="AT18" s="71"/>
      <c r="AU18" s="71"/>
      <c r="AV18" s="71"/>
      <c r="AW18" s="71"/>
      <c r="AX18" s="71"/>
      <c r="AY18" s="71"/>
      <c r="AZ18" s="71"/>
      <c r="BA18" s="71"/>
    </row>
    <row r="19" spans="1:53" s="56" customFormat="1" ht="21" customHeight="1" outlineLevel="1">
      <c r="A19" s="163" t="s">
        <v>217</v>
      </c>
      <c r="B19" s="125"/>
      <c r="C19" s="104"/>
      <c r="D19" s="336">
        <f t="shared" ca="1" si="19"/>
        <v>0</v>
      </c>
      <c r="E19" s="336">
        <f t="shared" ca="1" si="20"/>
        <v>0</v>
      </c>
      <c r="F19" s="336">
        <f t="shared" ca="1" si="21"/>
        <v>0</v>
      </c>
      <c r="G19" s="93">
        <f t="shared" ca="1" si="17"/>
        <v>0</v>
      </c>
      <c r="H19" s="93">
        <f t="shared" ca="1" si="17"/>
        <v>0</v>
      </c>
      <c r="I19" s="87">
        <f ca="1">Payroll_Optic_2!M22</f>
        <v>0</v>
      </c>
      <c r="J19" s="87">
        <f ca="1">Payroll_Optic_2!N22</f>
        <v>0</v>
      </c>
      <c r="K19" s="87">
        <f ca="1">Payroll_Optic_2!O22</f>
        <v>0</v>
      </c>
      <c r="L19" s="87">
        <f ca="1">Payroll_Optic_2!P22</f>
        <v>0</v>
      </c>
      <c r="M19" s="87">
        <f ca="1">Payroll_Optic_2!Q22</f>
        <v>0</v>
      </c>
      <c r="N19" s="87">
        <f ca="1">Payroll_Optic_2!R22</f>
        <v>0</v>
      </c>
      <c r="O19" s="87">
        <f ca="1">Payroll_Optic_2!S22</f>
        <v>0</v>
      </c>
      <c r="P19" s="87">
        <f ca="1">Payroll_Optic_2!T22</f>
        <v>0</v>
      </c>
      <c r="Q19" s="87">
        <f ca="1">Payroll_Optic_2!U22</f>
        <v>0</v>
      </c>
      <c r="R19" s="87">
        <f ca="1">Payroll_Optic_2!V22</f>
        <v>0</v>
      </c>
      <c r="S19" s="87">
        <f ca="1">Payroll_Optic_2!W22</f>
        <v>0</v>
      </c>
      <c r="T19" s="87">
        <f ca="1">Payroll_Optic_2!X22</f>
        <v>0</v>
      </c>
      <c r="U19" s="87">
        <f ca="1">Payroll_Optic_2!Y22</f>
        <v>0</v>
      </c>
      <c r="V19" s="87">
        <f ca="1">Payroll_Optic_2!Z22</f>
        <v>0</v>
      </c>
      <c r="W19" s="87">
        <f ca="1">Payroll_Optic_2!AA22</f>
        <v>0</v>
      </c>
      <c r="X19" s="87">
        <f ca="1">Payroll_Optic_2!AB22</f>
        <v>0</v>
      </c>
      <c r="Y19" s="87">
        <f ca="1">Payroll_Optic_2!AC22</f>
        <v>0</v>
      </c>
      <c r="Z19" s="87">
        <f ca="1">Payroll_Optic_2!AD22</f>
        <v>0</v>
      </c>
      <c r="AA19" s="87">
        <f ca="1">Payroll_Optic_2!AE22</f>
        <v>0</v>
      </c>
      <c r="AB19" s="87">
        <f ca="1">Payroll_Optic_2!AF22</f>
        <v>0</v>
      </c>
      <c r="AC19" s="87">
        <f ca="1">Payroll_Optic_2!AG22</f>
        <v>0</v>
      </c>
      <c r="AD19" s="87">
        <f ca="1">Payroll_Optic_2!AH22</f>
        <v>0</v>
      </c>
      <c r="AE19" s="87">
        <f ca="1">Payroll_Optic_2!AI22</f>
        <v>0</v>
      </c>
      <c r="AF19" s="87">
        <f ca="1">Payroll_Optic_2!AJ22</f>
        <v>0</v>
      </c>
      <c r="AG19" s="87">
        <f ca="1">Payroll_Optic_2!AK22</f>
        <v>0</v>
      </c>
      <c r="AH19" s="87">
        <f ca="1">Payroll_Optic_2!AL22</f>
        <v>0</v>
      </c>
      <c r="AI19" s="87">
        <f ca="1">Payroll_Optic_2!AM22</f>
        <v>0</v>
      </c>
      <c r="AJ19" s="87">
        <f ca="1">Payroll_Optic_2!AN22</f>
        <v>0</v>
      </c>
      <c r="AK19" s="87">
        <f ca="1">Payroll_Optic_2!AO22</f>
        <v>0</v>
      </c>
      <c r="AL19" s="87">
        <f ca="1">Payroll_Optic_2!AP22</f>
        <v>0</v>
      </c>
      <c r="AM19" s="87">
        <f ca="1">Payroll_Optic_2!AQ22</f>
        <v>0</v>
      </c>
      <c r="AN19" s="87">
        <f ca="1">Payroll_Optic_2!AR22</f>
        <v>0</v>
      </c>
      <c r="AO19" s="87">
        <f ca="1">Payroll_Optic_2!AS22</f>
        <v>0</v>
      </c>
      <c r="AP19" s="87">
        <f ca="1">Payroll_Optic_2!AT22</f>
        <v>0</v>
      </c>
      <c r="AQ19" s="87">
        <f ca="1">Payroll_Optic_2!AU22</f>
        <v>0</v>
      </c>
      <c r="AR19" s="87">
        <f ca="1">Payroll_Optic_2!AV22</f>
        <v>0</v>
      </c>
      <c r="AS19" s="71"/>
      <c r="AT19" s="71"/>
      <c r="AU19" s="71"/>
      <c r="AV19" s="71"/>
      <c r="AW19" s="71"/>
      <c r="AX19" s="71"/>
      <c r="AY19" s="71"/>
      <c r="AZ19" s="71"/>
      <c r="BA19" s="71"/>
    </row>
    <row r="20" spans="1:53" s="56" customFormat="1" ht="21" customHeight="1" outlineLevel="1">
      <c r="A20" s="163" t="s">
        <v>1</v>
      </c>
      <c r="B20" s="125"/>
      <c r="C20" s="104"/>
      <c r="D20" s="336">
        <f t="shared" ca="1" si="19"/>
        <v>0</v>
      </c>
      <c r="E20" s="336">
        <f t="shared" ca="1" si="20"/>
        <v>0</v>
      </c>
      <c r="F20" s="336">
        <f t="shared" ca="1" si="21"/>
        <v>0</v>
      </c>
      <c r="G20" s="93">
        <f t="shared" ca="1" si="17"/>
        <v>0</v>
      </c>
      <c r="H20" s="93">
        <f t="shared" ca="1" si="17"/>
        <v>0</v>
      </c>
      <c r="I20" s="87">
        <f ca="1">Payroll_Optic_2!M25</f>
        <v>0</v>
      </c>
      <c r="J20" s="87">
        <f ca="1">Payroll_Optic_2!N25</f>
        <v>0</v>
      </c>
      <c r="K20" s="87">
        <f ca="1">Payroll_Optic_2!O25</f>
        <v>0</v>
      </c>
      <c r="L20" s="87">
        <f ca="1">Payroll_Optic_2!P25</f>
        <v>0</v>
      </c>
      <c r="M20" s="87">
        <f ca="1">Payroll_Optic_2!Q25</f>
        <v>0</v>
      </c>
      <c r="N20" s="87">
        <f ca="1">Payroll_Optic_2!R25</f>
        <v>0</v>
      </c>
      <c r="O20" s="87">
        <f ca="1">Payroll_Optic_2!S25</f>
        <v>0</v>
      </c>
      <c r="P20" s="87">
        <f ca="1">Payroll_Optic_2!T25</f>
        <v>0</v>
      </c>
      <c r="Q20" s="87">
        <f ca="1">Payroll_Optic_2!U25</f>
        <v>0</v>
      </c>
      <c r="R20" s="87">
        <f ca="1">Payroll_Optic_2!V25</f>
        <v>0</v>
      </c>
      <c r="S20" s="87">
        <f ca="1">Payroll_Optic_2!W25</f>
        <v>0</v>
      </c>
      <c r="T20" s="87">
        <f ca="1">Payroll_Optic_2!X25</f>
        <v>0</v>
      </c>
      <c r="U20" s="87">
        <f ca="1">Payroll_Optic_2!Y25</f>
        <v>0</v>
      </c>
      <c r="V20" s="87">
        <f ca="1">Payroll_Optic_2!Z25</f>
        <v>0</v>
      </c>
      <c r="W20" s="87">
        <f ca="1">Payroll_Optic_2!AA25</f>
        <v>0</v>
      </c>
      <c r="X20" s="87">
        <f ca="1">Payroll_Optic_2!AB25</f>
        <v>0</v>
      </c>
      <c r="Y20" s="87">
        <f ca="1">Payroll_Optic_2!AC25</f>
        <v>0</v>
      </c>
      <c r="Z20" s="87">
        <f ca="1">Payroll_Optic_2!AD25</f>
        <v>0</v>
      </c>
      <c r="AA20" s="87">
        <f ca="1">Payroll_Optic_2!AE25</f>
        <v>0</v>
      </c>
      <c r="AB20" s="87">
        <f ca="1">Payroll_Optic_2!AF25</f>
        <v>0</v>
      </c>
      <c r="AC20" s="87">
        <f ca="1">Payroll_Optic_2!AG25</f>
        <v>0</v>
      </c>
      <c r="AD20" s="87">
        <f ca="1">Payroll_Optic_2!AH25</f>
        <v>0</v>
      </c>
      <c r="AE20" s="87">
        <f ca="1">Payroll_Optic_2!AI25</f>
        <v>0</v>
      </c>
      <c r="AF20" s="87">
        <f ca="1">Payroll_Optic_2!AJ25</f>
        <v>0</v>
      </c>
      <c r="AG20" s="87">
        <f ca="1">Payroll_Optic_2!AK25</f>
        <v>0</v>
      </c>
      <c r="AH20" s="87">
        <f ca="1">Payroll_Optic_2!AL25</f>
        <v>0</v>
      </c>
      <c r="AI20" s="87">
        <f ca="1">Payroll_Optic_2!AM25</f>
        <v>0</v>
      </c>
      <c r="AJ20" s="87">
        <f ca="1">Payroll_Optic_2!AN25</f>
        <v>0</v>
      </c>
      <c r="AK20" s="87">
        <f ca="1">Payroll_Optic_2!AO25</f>
        <v>0</v>
      </c>
      <c r="AL20" s="87">
        <f ca="1">Payroll_Optic_2!AP25</f>
        <v>0</v>
      </c>
      <c r="AM20" s="87">
        <f ca="1">Payroll_Optic_2!AQ25</f>
        <v>0</v>
      </c>
      <c r="AN20" s="87">
        <f ca="1">Payroll_Optic_2!AR25</f>
        <v>0</v>
      </c>
      <c r="AO20" s="87">
        <f ca="1">Payroll_Optic_2!AS25</f>
        <v>0</v>
      </c>
      <c r="AP20" s="87">
        <f ca="1">Payroll_Optic_2!AT25</f>
        <v>0</v>
      </c>
      <c r="AQ20" s="87">
        <f ca="1">Payroll_Optic_2!AU25</f>
        <v>0</v>
      </c>
      <c r="AR20" s="87">
        <f ca="1">Payroll_Optic_2!AV25</f>
        <v>0</v>
      </c>
      <c r="AS20" s="71"/>
      <c r="AT20" s="71"/>
      <c r="AU20" s="71"/>
      <c r="AV20" s="71"/>
      <c r="AW20" s="71"/>
      <c r="AX20" s="71"/>
      <c r="AY20" s="71"/>
      <c r="AZ20" s="71"/>
      <c r="BA20" s="71"/>
    </row>
    <row r="21" spans="1:53" s="71" customFormat="1" ht="21" customHeight="1">
      <c r="A21" s="98" t="s">
        <v>212</v>
      </c>
      <c r="B21" s="126"/>
      <c r="C21" s="103"/>
      <c r="D21" s="90" t="str">
        <f t="shared" ref="D21:F21" ca="1" si="22">IFERROR(D17/D8,"")</f>
        <v/>
      </c>
      <c r="E21" s="90" t="str">
        <f t="shared" ca="1" si="22"/>
        <v/>
      </c>
      <c r="F21" s="90" t="str">
        <f t="shared" ca="1" si="22"/>
        <v/>
      </c>
      <c r="G21" s="91" t="e">
        <f ca="1">E21-D21</f>
        <v>#VALUE!</v>
      </c>
      <c r="H21" s="91" t="e">
        <f ca="1">F21-E21</f>
        <v>#VALUE!</v>
      </c>
      <c r="I21" s="90">
        <f t="shared" ref="I21:AR21" ca="1" si="23">IFERROR(I17/I8,0)</f>
        <v>0</v>
      </c>
      <c r="J21" s="90">
        <f t="shared" ca="1" si="23"/>
        <v>0</v>
      </c>
      <c r="K21" s="90">
        <f t="shared" ca="1" si="23"/>
        <v>0</v>
      </c>
      <c r="L21" s="90">
        <f t="shared" ca="1" si="23"/>
        <v>0</v>
      </c>
      <c r="M21" s="90">
        <f t="shared" ca="1" si="23"/>
        <v>0</v>
      </c>
      <c r="N21" s="90">
        <f t="shared" ca="1" si="23"/>
        <v>0</v>
      </c>
      <c r="O21" s="90">
        <f t="shared" ca="1" si="23"/>
        <v>0</v>
      </c>
      <c r="P21" s="90">
        <f t="shared" ca="1" si="23"/>
        <v>0</v>
      </c>
      <c r="Q21" s="90">
        <f t="shared" ca="1" si="23"/>
        <v>0</v>
      </c>
      <c r="R21" s="90">
        <f t="shared" ca="1" si="23"/>
        <v>0</v>
      </c>
      <c r="S21" s="90">
        <f t="shared" ca="1" si="23"/>
        <v>0</v>
      </c>
      <c r="T21" s="90">
        <f t="shared" ca="1" si="23"/>
        <v>0</v>
      </c>
      <c r="U21" s="90">
        <f t="shared" ca="1" si="23"/>
        <v>0</v>
      </c>
      <c r="V21" s="90">
        <f t="shared" ca="1" si="23"/>
        <v>0</v>
      </c>
      <c r="W21" s="90">
        <f t="shared" ca="1" si="23"/>
        <v>0</v>
      </c>
      <c r="X21" s="90">
        <f t="shared" ca="1" si="23"/>
        <v>0</v>
      </c>
      <c r="Y21" s="90">
        <f t="shared" ca="1" si="23"/>
        <v>0</v>
      </c>
      <c r="Z21" s="90">
        <f t="shared" ca="1" si="23"/>
        <v>0</v>
      </c>
      <c r="AA21" s="90">
        <f t="shared" ca="1" si="23"/>
        <v>0</v>
      </c>
      <c r="AB21" s="90">
        <f t="shared" ca="1" si="23"/>
        <v>0</v>
      </c>
      <c r="AC21" s="90">
        <f t="shared" ca="1" si="23"/>
        <v>0</v>
      </c>
      <c r="AD21" s="90">
        <f t="shared" ca="1" si="23"/>
        <v>0</v>
      </c>
      <c r="AE21" s="90">
        <f t="shared" ca="1" si="23"/>
        <v>0</v>
      </c>
      <c r="AF21" s="90">
        <f t="shared" ca="1" si="23"/>
        <v>0</v>
      </c>
      <c r="AG21" s="90">
        <f t="shared" ca="1" si="23"/>
        <v>0</v>
      </c>
      <c r="AH21" s="90">
        <f t="shared" ca="1" si="23"/>
        <v>0</v>
      </c>
      <c r="AI21" s="90">
        <f t="shared" ca="1" si="23"/>
        <v>0</v>
      </c>
      <c r="AJ21" s="90">
        <f t="shared" ca="1" si="23"/>
        <v>0</v>
      </c>
      <c r="AK21" s="90">
        <f t="shared" ca="1" si="23"/>
        <v>0</v>
      </c>
      <c r="AL21" s="90">
        <f t="shared" ca="1" si="23"/>
        <v>0</v>
      </c>
      <c r="AM21" s="90">
        <f t="shared" ca="1" si="23"/>
        <v>0</v>
      </c>
      <c r="AN21" s="90">
        <f t="shared" ca="1" si="23"/>
        <v>0</v>
      </c>
      <c r="AO21" s="90">
        <f t="shared" ca="1" si="23"/>
        <v>0</v>
      </c>
      <c r="AP21" s="90">
        <f t="shared" ca="1" si="23"/>
        <v>0</v>
      </c>
      <c r="AQ21" s="90">
        <f t="shared" ca="1" si="23"/>
        <v>0</v>
      </c>
      <c r="AR21" s="90">
        <f t="shared" ca="1" si="23"/>
        <v>0</v>
      </c>
    </row>
    <row r="22" spans="1:53" s="79" customFormat="1" ht="21" customHeight="1">
      <c r="A22" s="96" t="s">
        <v>218</v>
      </c>
      <c r="B22" s="124"/>
      <c r="C22" s="101"/>
      <c r="D22" s="89">
        <f>SUM(D23:D24)</f>
        <v>0</v>
      </c>
      <c r="E22" s="339">
        <f t="shared" ref="E22:F22" si="24">SUM(E23:E24)</f>
        <v>0</v>
      </c>
      <c r="F22" s="339">
        <f t="shared" si="24"/>
        <v>0</v>
      </c>
      <c r="G22" s="92">
        <f t="shared" ref="G22:H37" si="25">IFERROR(E22/D22-1,0)</f>
        <v>0</v>
      </c>
      <c r="H22" s="92">
        <f t="shared" si="25"/>
        <v>0</v>
      </c>
      <c r="I22" s="89">
        <f t="shared" ref="I22:AR22" si="26">SUM(I23:I24)</f>
        <v>0</v>
      </c>
      <c r="J22" s="89">
        <f t="shared" si="26"/>
        <v>0</v>
      </c>
      <c r="K22" s="89">
        <f t="shared" si="26"/>
        <v>0</v>
      </c>
      <c r="L22" s="89">
        <f t="shared" si="26"/>
        <v>0</v>
      </c>
      <c r="M22" s="89">
        <f t="shared" si="26"/>
        <v>0</v>
      </c>
      <c r="N22" s="89">
        <f t="shared" si="26"/>
        <v>0</v>
      </c>
      <c r="O22" s="89">
        <f t="shared" si="26"/>
        <v>0</v>
      </c>
      <c r="P22" s="89">
        <f t="shared" si="26"/>
        <v>0</v>
      </c>
      <c r="Q22" s="89">
        <f t="shared" si="26"/>
        <v>0</v>
      </c>
      <c r="R22" s="89">
        <f t="shared" si="26"/>
        <v>0</v>
      </c>
      <c r="S22" s="89">
        <f t="shared" si="26"/>
        <v>0</v>
      </c>
      <c r="T22" s="89">
        <f t="shared" si="26"/>
        <v>0</v>
      </c>
      <c r="U22" s="89">
        <f t="shared" si="26"/>
        <v>0</v>
      </c>
      <c r="V22" s="89">
        <f t="shared" si="26"/>
        <v>0</v>
      </c>
      <c r="W22" s="89">
        <f t="shared" si="26"/>
        <v>0</v>
      </c>
      <c r="X22" s="89">
        <f t="shared" si="26"/>
        <v>0</v>
      </c>
      <c r="Y22" s="89">
        <f t="shared" si="26"/>
        <v>0</v>
      </c>
      <c r="Z22" s="89">
        <f t="shared" si="26"/>
        <v>0</v>
      </c>
      <c r="AA22" s="89">
        <f t="shared" si="26"/>
        <v>0</v>
      </c>
      <c r="AB22" s="89">
        <f t="shared" si="26"/>
        <v>0</v>
      </c>
      <c r="AC22" s="89">
        <f t="shared" si="26"/>
        <v>0</v>
      </c>
      <c r="AD22" s="89">
        <f t="shared" si="26"/>
        <v>0</v>
      </c>
      <c r="AE22" s="89">
        <f t="shared" si="26"/>
        <v>0</v>
      </c>
      <c r="AF22" s="89">
        <f t="shared" si="26"/>
        <v>0</v>
      </c>
      <c r="AG22" s="89">
        <f t="shared" si="26"/>
        <v>0</v>
      </c>
      <c r="AH22" s="89">
        <f t="shared" si="26"/>
        <v>0</v>
      </c>
      <c r="AI22" s="89">
        <f t="shared" si="26"/>
        <v>0</v>
      </c>
      <c r="AJ22" s="89">
        <f t="shared" si="26"/>
        <v>0</v>
      </c>
      <c r="AK22" s="89">
        <f t="shared" si="26"/>
        <v>0</v>
      </c>
      <c r="AL22" s="89">
        <f t="shared" si="26"/>
        <v>0</v>
      </c>
      <c r="AM22" s="89">
        <f t="shared" si="26"/>
        <v>0</v>
      </c>
      <c r="AN22" s="89">
        <f t="shared" si="26"/>
        <v>0</v>
      </c>
      <c r="AO22" s="89">
        <f t="shared" si="26"/>
        <v>0</v>
      </c>
      <c r="AP22" s="89">
        <f t="shared" si="26"/>
        <v>0</v>
      </c>
      <c r="AQ22" s="89">
        <f t="shared" si="26"/>
        <v>0</v>
      </c>
      <c r="AR22" s="89">
        <f t="shared" si="26"/>
        <v>0</v>
      </c>
      <c r="AS22" s="71"/>
      <c r="AT22" s="71"/>
      <c r="AU22" s="71"/>
      <c r="AV22" s="71"/>
      <c r="AW22" s="71"/>
      <c r="AX22" s="71"/>
      <c r="AY22" s="71"/>
      <c r="AZ22" s="71"/>
      <c r="BA22" s="71"/>
    </row>
    <row r="23" spans="1:53" s="56" customFormat="1" ht="21" customHeight="1" outlineLevel="1">
      <c r="A23" s="97" t="s">
        <v>219</v>
      </c>
      <c r="B23" s="118"/>
      <c r="C23" s="349"/>
      <c r="D23" s="336">
        <f t="shared" ref="D23:D49" si="27">SUMIF($I$7:$AR$7,$D$6,$I23:$AR23)</f>
        <v>0</v>
      </c>
      <c r="E23" s="336">
        <f t="shared" ref="E23:E49" si="28">SUMIF($I$7:$AR$7,$E$6,$I23:$AR23)</f>
        <v>0</v>
      </c>
      <c r="F23" s="336">
        <f t="shared" ref="F23:F49" si="29">SUMIF($I$7:$AR$7,$F$6,$I23:$AR23)</f>
        <v>0</v>
      </c>
      <c r="G23" s="93">
        <f t="shared" si="25"/>
        <v>0</v>
      </c>
      <c r="H23" s="93">
        <f t="shared" si="25"/>
        <v>0</v>
      </c>
      <c r="I23" s="87">
        <f>C23</f>
        <v>0</v>
      </c>
      <c r="J23" s="87">
        <f t="shared" ref="J23:AR24" si="30">I23</f>
        <v>0</v>
      </c>
      <c r="K23" s="87">
        <f t="shared" si="30"/>
        <v>0</v>
      </c>
      <c r="L23" s="87">
        <f t="shared" si="30"/>
        <v>0</v>
      </c>
      <c r="M23" s="87">
        <f t="shared" si="30"/>
        <v>0</v>
      </c>
      <c r="N23" s="87">
        <f t="shared" si="30"/>
        <v>0</v>
      </c>
      <c r="O23" s="87">
        <f t="shared" si="30"/>
        <v>0</v>
      </c>
      <c r="P23" s="87">
        <f t="shared" si="30"/>
        <v>0</v>
      </c>
      <c r="Q23" s="87">
        <f t="shared" si="30"/>
        <v>0</v>
      </c>
      <c r="R23" s="87">
        <f t="shared" si="30"/>
        <v>0</v>
      </c>
      <c r="S23" s="87">
        <f t="shared" si="30"/>
        <v>0</v>
      </c>
      <c r="T23" s="87">
        <f t="shared" si="30"/>
        <v>0</v>
      </c>
      <c r="U23" s="87">
        <f>T23*(1+$B$3)</f>
        <v>0</v>
      </c>
      <c r="V23" s="87">
        <f t="shared" si="30"/>
        <v>0</v>
      </c>
      <c r="W23" s="87">
        <f t="shared" si="30"/>
        <v>0</v>
      </c>
      <c r="X23" s="87">
        <f t="shared" si="30"/>
        <v>0</v>
      </c>
      <c r="Y23" s="87">
        <f t="shared" si="30"/>
        <v>0</v>
      </c>
      <c r="Z23" s="87">
        <f t="shared" si="30"/>
        <v>0</v>
      </c>
      <c r="AA23" s="87">
        <f t="shared" si="30"/>
        <v>0</v>
      </c>
      <c r="AB23" s="87">
        <f t="shared" si="30"/>
        <v>0</v>
      </c>
      <c r="AC23" s="87">
        <f t="shared" si="30"/>
        <v>0</v>
      </c>
      <c r="AD23" s="87">
        <f t="shared" si="30"/>
        <v>0</v>
      </c>
      <c r="AE23" s="87">
        <f t="shared" si="30"/>
        <v>0</v>
      </c>
      <c r="AF23" s="87">
        <f>AE23</f>
        <v>0</v>
      </c>
      <c r="AG23" s="87">
        <f>AF23*(1+$C$3)</f>
        <v>0</v>
      </c>
      <c r="AH23" s="87">
        <f t="shared" si="30"/>
        <v>0</v>
      </c>
      <c r="AI23" s="87">
        <f t="shared" si="30"/>
        <v>0</v>
      </c>
      <c r="AJ23" s="87">
        <f t="shared" si="30"/>
        <v>0</v>
      </c>
      <c r="AK23" s="87">
        <f t="shared" si="30"/>
        <v>0</v>
      </c>
      <c r="AL23" s="87">
        <f t="shared" si="30"/>
        <v>0</v>
      </c>
      <c r="AM23" s="87">
        <f t="shared" si="30"/>
        <v>0</v>
      </c>
      <c r="AN23" s="87">
        <f t="shared" si="30"/>
        <v>0</v>
      </c>
      <c r="AO23" s="87">
        <f t="shared" si="30"/>
        <v>0</v>
      </c>
      <c r="AP23" s="87">
        <f t="shared" si="30"/>
        <v>0</v>
      </c>
      <c r="AQ23" s="87">
        <f t="shared" si="30"/>
        <v>0</v>
      </c>
      <c r="AR23" s="87">
        <f t="shared" si="30"/>
        <v>0</v>
      </c>
      <c r="AS23" s="71"/>
      <c r="AT23" s="71"/>
      <c r="AU23" s="71"/>
      <c r="AV23" s="71"/>
      <c r="AW23" s="71"/>
      <c r="AX23" s="71"/>
      <c r="AY23" s="71"/>
      <c r="AZ23" s="71"/>
      <c r="BA23" s="71"/>
    </row>
    <row r="24" spans="1:53" s="56" customFormat="1" ht="21" customHeight="1" outlineLevel="1">
      <c r="A24" s="97" t="s">
        <v>220</v>
      </c>
      <c r="B24" s="118"/>
      <c r="C24" s="349"/>
      <c r="D24" s="87">
        <f t="shared" si="27"/>
        <v>0</v>
      </c>
      <c r="E24" s="87">
        <f t="shared" si="28"/>
        <v>0</v>
      </c>
      <c r="F24" s="87">
        <f t="shared" si="29"/>
        <v>0</v>
      </c>
      <c r="G24" s="93">
        <f t="shared" si="25"/>
        <v>0</v>
      </c>
      <c r="H24" s="93">
        <f t="shared" si="25"/>
        <v>0</v>
      </c>
      <c r="I24" s="87">
        <f>C24</f>
        <v>0</v>
      </c>
      <c r="J24" s="87">
        <f>I24</f>
        <v>0</v>
      </c>
      <c r="K24" s="87">
        <f t="shared" si="30"/>
        <v>0</v>
      </c>
      <c r="L24" s="87">
        <f t="shared" si="30"/>
        <v>0</v>
      </c>
      <c r="M24" s="87">
        <f t="shared" si="30"/>
        <v>0</v>
      </c>
      <c r="N24" s="87">
        <f t="shared" si="30"/>
        <v>0</v>
      </c>
      <c r="O24" s="87">
        <f t="shared" si="30"/>
        <v>0</v>
      </c>
      <c r="P24" s="87">
        <f t="shared" si="30"/>
        <v>0</v>
      </c>
      <c r="Q24" s="87">
        <f t="shared" si="30"/>
        <v>0</v>
      </c>
      <c r="R24" s="87">
        <f t="shared" si="30"/>
        <v>0</v>
      </c>
      <c r="S24" s="87">
        <f t="shared" si="30"/>
        <v>0</v>
      </c>
      <c r="T24" s="87">
        <f t="shared" si="30"/>
        <v>0</v>
      </c>
      <c r="U24" s="87">
        <f>T24*(1+$B$3)</f>
        <v>0</v>
      </c>
      <c r="V24" s="87">
        <f t="shared" si="30"/>
        <v>0</v>
      </c>
      <c r="W24" s="87">
        <f t="shared" si="30"/>
        <v>0</v>
      </c>
      <c r="X24" s="87">
        <f t="shared" si="30"/>
        <v>0</v>
      </c>
      <c r="Y24" s="87">
        <f t="shared" si="30"/>
        <v>0</v>
      </c>
      <c r="Z24" s="87">
        <f t="shared" si="30"/>
        <v>0</v>
      </c>
      <c r="AA24" s="87">
        <f t="shared" si="30"/>
        <v>0</v>
      </c>
      <c r="AB24" s="87">
        <f t="shared" si="30"/>
        <v>0</v>
      </c>
      <c r="AC24" s="87">
        <f t="shared" si="30"/>
        <v>0</v>
      </c>
      <c r="AD24" s="87">
        <f t="shared" si="30"/>
        <v>0</v>
      </c>
      <c r="AE24" s="87">
        <f t="shared" si="30"/>
        <v>0</v>
      </c>
      <c r="AF24" s="87">
        <f t="shared" si="30"/>
        <v>0</v>
      </c>
      <c r="AG24" s="87">
        <f t="shared" si="30"/>
        <v>0</v>
      </c>
      <c r="AH24" s="87">
        <f t="shared" si="30"/>
        <v>0</v>
      </c>
      <c r="AI24" s="87">
        <f t="shared" si="30"/>
        <v>0</v>
      </c>
      <c r="AJ24" s="87">
        <f t="shared" si="30"/>
        <v>0</v>
      </c>
      <c r="AK24" s="87">
        <f t="shared" si="30"/>
        <v>0</v>
      </c>
      <c r="AL24" s="87">
        <f t="shared" si="30"/>
        <v>0</v>
      </c>
      <c r="AM24" s="87">
        <f t="shared" si="30"/>
        <v>0</v>
      </c>
      <c r="AN24" s="87">
        <f t="shared" si="30"/>
        <v>0</v>
      </c>
      <c r="AO24" s="87">
        <f t="shared" si="30"/>
        <v>0</v>
      </c>
      <c r="AP24" s="87">
        <f t="shared" si="30"/>
        <v>0</v>
      </c>
      <c r="AQ24" s="87">
        <f t="shared" si="30"/>
        <v>0</v>
      </c>
      <c r="AR24" s="87">
        <f t="shared" si="30"/>
        <v>0</v>
      </c>
      <c r="AS24" s="71"/>
      <c r="AT24" s="71"/>
      <c r="AU24" s="71"/>
      <c r="AV24" s="71"/>
      <c r="AW24" s="71"/>
      <c r="AX24" s="71"/>
      <c r="AY24" s="71"/>
      <c r="AZ24" s="71"/>
      <c r="BA24" s="71"/>
    </row>
    <row r="25" spans="1:53" s="79" customFormat="1" ht="21" customHeight="1">
      <c r="A25" s="96" t="s">
        <v>221</v>
      </c>
      <c r="B25" s="124"/>
      <c r="C25" s="164"/>
      <c r="D25" s="89">
        <f t="shared" si="27"/>
        <v>0</v>
      </c>
      <c r="E25" s="89">
        <f t="shared" si="28"/>
        <v>0</v>
      </c>
      <c r="F25" s="89">
        <f t="shared" si="29"/>
        <v>0</v>
      </c>
      <c r="G25" s="92">
        <f t="shared" si="25"/>
        <v>0</v>
      </c>
      <c r="H25" s="92">
        <f t="shared" si="25"/>
        <v>0</v>
      </c>
      <c r="I25" s="89">
        <f>SUM(I26,I29,I30,I33:I42,I48:I50)</f>
        <v>0</v>
      </c>
      <c r="J25" s="339">
        <f>SUM(J26,J29,J30,J33:J42,J48:J50)</f>
        <v>0</v>
      </c>
      <c r="K25" s="339">
        <f t="shared" ref="K25:AR25" si="31">SUM(K26,K29,K30,K33:K42,K48:K50)</f>
        <v>0</v>
      </c>
      <c r="L25" s="339">
        <f t="shared" si="31"/>
        <v>0</v>
      </c>
      <c r="M25" s="339">
        <f t="shared" si="31"/>
        <v>0</v>
      </c>
      <c r="N25" s="339">
        <f t="shared" si="31"/>
        <v>0</v>
      </c>
      <c r="O25" s="339">
        <f t="shared" si="31"/>
        <v>0</v>
      </c>
      <c r="P25" s="339">
        <f t="shared" si="31"/>
        <v>0</v>
      </c>
      <c r="Q25" s="339">
        <f t="shared" si="31"/>
        <v>0</v>
      </c>
      <c r="R25" s="339">
        <f t="shared" si="31"/>
        <v>0</v>
      </c>
      <c r="S25" s="339">
        <f t="shared" si="31"/>
        <v>0</v>
      </c>
      <c r="T25" s="339">
        <f t="shared" si="31"/>
        <v>0</v>
      </c>
      <c r="U25" s="339">
        <f t="shared" si="31"/>
        <v>0</v>
      </c>
      <c r="V25" s="339">
        <f t="shared" si="31"/>
        <v>0</v>
      </c>
      <c r="W25" s="339">
        <f t="shared" si="31"/>
        <v>0</v>
      </c>
      <c r="X25" s="339">
        <f t="shared" si="31"/>
        <v>0</v>
      </c>
      <c r="Y25" s="339">
        <f t="shared" si="31"/>
        <v>0</v>
      </c>
      <c r="Z25" s="339">
        <f t="shared" si="31"/>
        <v>0</v>
      </c>
      <c r="AA25" s="339">
        <f t="shared" si="31"/>
        <v>0</v>
      </c>
      <c r="AB25" s="339">
        <f t="shared" si="31"/>
        <v>0</v>
      </c>
      <c r="AC25" s="339">
        <f t="shared" si="31"/>
        <v>0</v>
      </c>
      <c r="AD25" s="339">
        <f t="shared" si="31"/>
        <v>0</v>
      </c>
      <c r="AE25" s="339">
        <f t="shared" si="31"/>
        <v>0</v>
      </c>
      <c r="AF25" s="339">
        <f t="shared" si="31"/>
        <v>0</v>
      </c>
      <c r="AG25" s="339">
        <f t="shared" si="31"/>
        <v>0</v>
      </c>
      <c r="AH25" s="339">
        <f t="shared" si="31"/>
        <v>0</v>
      </c>
      <c r="AI25" s="339">
        <f t="shared" si="31"/>
        <v>0</v>
      </c>
      <c r="AJ25" s="339">
        <f t="shared" si="31"/>
        <v>0</v>
      </c>
      <c r="AK25" s="339">
        <f t="shared" si="31"/>
        <v>0</v>
      </c>
      <c r="AL25" s="339">
        <f t="shared" si="31"/>
        <v>0</v>
      </c>
      <c r="AM25" s="339">
        <f t="shared" si="31"/>
        <v>0</v>
      </c>
      <c r="AN25" s="339">
        <f t="shared" si="31"/>
        <v>0</v>
      </c>
      <c r="AO25" s="339">
        <f t="shared" si="31"/>
        <v>0</v>
      </c>
      <c r="AP25" s="339">
        <f t="shared" si="31"/>
        <v>0</v>
      </c>
      <c r="AQ25" s="339">
        <f t="shared" si="31"/>
        <v>0</v>
      </c>
      <c r="AR25" s="339">
        <f t="shared" si="31"/>
        <v>0</v>
      </c>
      <c r="AS25" s="71"/>
      <c r="AT25" s="71"/>
      <c r="AU25" s="71"/>
      <c r="AV25" s="71"/>
      <c r="AW25" s="71"/>
      <c r="AX25" s="71"/>
      <c r="AY25" s="71"/>
      <c r="AZ25" s="71"/>
      <c r="BA25" s="71"/>
    </row>
    <row r="26" spans="1:53" s="56" customFormat="1" ht="21" customHeight="1" outlineLevel="1">
      <c r="A26" s="97" t="s">
        <v>3</v>
      </c>
      <c r="B26" s="127"/>
      <c r="C26" s="348">
        <f>C27*C28</f>
        <v>0</v>
      </c>
      <c r="D26" s="336">
        <f t="shared" si="27"/>
        <v>0</v>
      </c>
      <c r="E26" s="336">
        <f t="shared" si="28"/>
        <v>0</v>
      </c>
      <c r="F26" s="336">
        <f t="shared" si="29"/>
        <v>0</v>
      </c>
      <c r="G26" s="93">
        <f t="shared" si="25"/>
        <v>0</v>
      </c>
      <c r="H26" s="93">
        <f t="shared" si="25"/>
        <v>0</v>
      </c>
      <c r="I26" s="87">
        <f>$C$27*$C$28</f>
        <v>0</v>
      </c>
      <c r="J26" s="87">
        <f>I26</f>
        <v>0</v>
      </c>
      <c r="K26" s="87">
        <f t="shared" ref="K26:AR26" si="32">J26</f>
        <v>0</v>
      </c>
      <c r="L26" s="87">
        <f t="shared" si="32"/>
        <v>0</v>
      </c>
      <c r="M26" s="87">
        <f t="shared" si="32"/>
        <v>0</v>
      </c>
      <c r="N26" s="87">
        <f t="shared" si="32"/>
        <v>0</v>
      </c>
      <c r="O26" s="87">
        <f t="shared" si="32"/>
        <v>0</v>
      </c>
      <c r="P26" s="87">
        <f t="shared" si="32"/>
        <v>0</v>
      </c>
      <c r="Q26" s="87">
        <f t="shared" si="32"/>
        <v>0</v>
      </c>
      <c r="R26" s="87">
        <f t="shared" si="32"/>
        <v>0</v>
      </c>
      <c r="S26" s="87">
        <f t="shared" si="32"/>
        <v>0</v>
      </c>
      <c r="T26" s="87">
        <f t="shared" si="32"/>
        <v>0</v>
      </c>
      <c r="U26" s="87">
        <f>T26*(1+$B$3)</f>
        <v>0</v>
      </c>
      <c r="V26" s="87">
        <f t="shared" si="32"/>
        <v>0</v>
      </c>
      <c r="W26" s="87">
        <f t="shared" si="32"/>
        <v>0</v>
      </c>
      <c r="X26" s="87">
        <f t="shared" si="32"/>
        <v>0</v>
      </c>
      <c r="Y26" s="87">
        <f t="shared" si="32"/>
        <v>0</v>
      </c>
      <c r="Z26" s="87">
        <f t="shared" si="32"/>
        <v>0</v>
      </c>
      <c r="AA26" s="87">
        <f t="shared" si="32"/>
        <v>0</v>
      </c>
      <c r="AB26" s="87">
        <f t="shared" si="32"/>
        <v>0</v>
      </c>
      <c r="AC26" s="87">
        <f t="shared" si="32"/>
        <v>0</v>
      </c>
      <c r="AD26" s="87">
        <f t="shared" si="32"/>
        <v>0</v>
      </c>
      <c r="AE26" s="87">
        <f t="shared" si="32"/>
        <v>0</v>
      </c>
      <c r="AF26" s="87">
        <f t="shared" si="32"/>
        <v>0</v>
      </c>
      <c r="AG26" s="87">
        <f>AF26*(1+$C$3)</f>
        <v>0</v>
      </c>
      <c r="AH26" s="87">
        <f t="shared" si="32"/>
        <v>0</v>
      </c>
      <c r="AI26" s="87">
        <f t="shared" si="32"/>
        <v>0</v>
      </c>
      <c r="AJ26" s="87">
        <f t="shared" si="32"/>
        <v>0</v>
      </c>
      <c r="AK26" s="87">
        <f t="shared" si="32"/>
        <v>0</v>
      </c>
      <c r="AL26" s="87">
        <f t="shared" si="32"/>
        <v>0</v>
      </c>
      <c r="AM26" s="87">
        <f t="shared" si="32"/>
        <v>0</v>
      </c>
      <c r="AN26" s="87">
        <f t="shared" si="32"/>
        <v>0</v>
      </c>
      <c r="AO26" s="87">
        <f t="shared" si="32"/>
        <v>0</v>
      </c>
      <c r="AP26" s="87">
        <f t="shared" si="32"/>
        <v>0</v>
      </c>
      <c r="AQ26" s="87">
        <f t="shared" si="32"/>
        <v>0</v>
      </c>
      <c r="AR26" s="87">
        <f t="shared" si="32"/>
        <v>0</v>
      </c>
      <c r="AS26" s="71"/>
      <c r="AT26" s="71"/>
      <c r="AU26" s="71"/>
      <c r="AV26" s="71"/>
      <c r="AW26" s="71"/>
      <c r="AX26" s="71"/>
      <c r="AY26" s="71"/>
      <c r="AZ26" s="71"/>
      <c r="BA26" s="71"/>
    </row>
    <row r="27" spans="1:53" s="56" customFormat="1" ht="18" customHeight="1" outlineLevel="2">
      <c r="A27" s="95" t="s">
        <v>36</v>
      </c>
      <c r="B27" s="125"/>
      <c r="C27" s="348"/>
      <c r="D27" s="87">
        <f t="shared" si="27"/>
        <v>0</v>
      </c>
      <c r="E27" s="87">
        <f t="shared" si="28"/>
        <v>0</v>
      </c>
      <c r="F27" s="87">
        <f t="shared" si="29"/>
        <v>0</v>
      </c>
      <c r="G27" s="93">
        <f t="shared" si="25"/>
        <v>0</v>
      </c>
      <c r="H27" s="93">
        <f t="shared" si="25"/>
        <v>0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71"/>
      <c r="AT27" s="71"/>
      <c r="AU27" s="71"/>
      <c r="AV27" s="71"/>
      <c r="AW27" s="71"/>
      <c r="AX27" s="71"/>
      <c r="AY27" s="71"/>
      <c r="AZ27" s="71"/>
      <c r="BA27" s="71"/>
    </row>
    <row r="28" spans="1:53" s="56" customFormat="1" ht="25.35" customHeight="1" outlineLevel="2">
      <c r="A28" s="95" t="s">
        <v>37</v>
      </c>
      <c r="B28" s="125">
        <f>1000000/1390</f>
        <v>719.42446043165467</v>
      </c>
      <c r="C28" s="348"/>
      <c r="D28" s="87">
        <f t="shared" si="27"/>
        <v>0</v>
      </c>
      <c r="E28" s="87">
        <f t="shared" si="28"/>
        <v>0</v>
      </c>
      <c r="F28" s="87">
        <f t="shared" si="29"/>
        <v>0</v>
      </c>
      <c r="G28" s="93">
        <f t="shared" si="25"/>
        <v>0</v>
      </c>
      <c r="H28" s="93">
        <f t="shared" si="25"/>
        <v>0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71"/>
      <c r="AT28" s="71"/>
      <c r="AU28" s="71"/>
      <c r="AV28" s="71"/>
      <c r="AW28" s="71"/>
      <c r="AX28" s="71"/>
      <c r="AY28" s="71"/>
      <c r="AZ28" s="71"/>
      <c r="BA28" s="71"/>
    </row>
    <row r="29" spans="1:53" s="56" customFormat="1" ht="21" customHeight="1" outlineLevel="1">
      <c r="A29" s="97" t="s">
        <v>4</v>
      </c>
      <c r="B29" s="118"/>
      <c r="C29" s="165"/>
      <c r="D29" s="87">
        <f t="shared" si="27"/>
        <v>0</v>
      </c>
      <c r="E29" s="336">
        <f t="shared" si="28"/>
        <v>0</v>
      </c>
      <c r="F29" s="336">
        <f t="shared" si="29"/>
        <v>0</v>
      </c>
      <c r="G29" s="93">
        <f t="shared" si="25"/>
        <v>0</v>
      </c>
      <c r="H29" s="93">
        <f t="shared" si="25"/>
        <v>0</v>
      </c>
      <c r="I29" s="87">
        <f>C29*C27</f>
        <v>0</v>
      </c>
      <c r="J29" s="87">
        <f t="shared" ref="J29:AR29" si="33">I29</f>
        <v>0</v>
      </c>
      <c r="K29" s="87">
        <f t="shared" si="33"/>
        <v>0</v>
      </c>
      <c r="L29" s="87">
        <f t="shared" si="33"/>
        <v>0</v>
      </c>
      <c r="M29" s="87">
        <f t="shared" si="33"/>
        <v>0</v>
      </c>
      <c r="N29" s="87">
        <f t="shared" si="33"/>
        <v>0</v>
      </c>
      <c r="O29" s="87">
        <f t="shared" si="33"/>
        <v>0</v>
      </c>
      <c r="P29" s="87">
        <f t="shared" si="33"/>
        <v>0</v>
      </c>
      <c r="Q29" s="87">
        <f t="shared" si="33"/>
        <v>0</v>
      </c>
      <c r="R29" s="87">
        <f t="shared" si="33"/>
        <v>0</v>
      </c>
      <c r="S29" s="87">
        <f t="shared" si="33"/>
        <v>0</v>
      </c>
      <c r="T29" s="87">
        <f t="shared" si="33"/>
        <v>0</v>
      </c>
      <c r="U29" s="87">
        <f>T29*(1+$B$3)</f>
        <v>0</v>
      </c>
      <c r="V29" s="87">
        <f t="shared" si="33"/>
        <v>0</v>
      </c>
      <c r="W29" s="87">
        <f t="shared" si="33"/>
        <v>0</v>
      </c>
      <c r="X29" s="87">
        <f t="shared" si="33"/>
        <v>0</v>
      </c>
      <c r="Y29" s="87">
        <f t="shared" si="33"/>
        <v>0</v>
      </c>
      <c r="Z29" s="87">
        <f t="shared" si="33"/>
        <v>0</v>
      </c>
      <c r="AA29" s="87">
        <f t="shared" si="33"/>
        <v>0</v>
      </c>
      <c r="AB29" s="87">
        <f t="shared" si="33"/>
        <v>0</v>
      </c>
      <c r="AC29" s="87">
        <f t="shared" si="33"/>
        <v>0</v>
      </c>
      <c r="AD29" s="87">
        <f t="shared" si="33"/>
        <v>0</v>
      </c>
      <c r="AE29" s="87">
        <f t="shared" si="33"/>
        <v>0</v>
      </c>
      <c r="AF29" s="87">
        <f t="shared" si="33"/>
        <v>0</v>
      </c>
      <c r="AG29" s="87">
        <f>AF29*(1+$C$3)</f>
        <v>0</v>
      </c>
      <c r="AH29" s="87">
        <f t="shared" si="33"/>
        <v>0</v>
      </c>
      <c r="AI29" s="87">
        <f t="shared" si="33"/>
        <v>0</v>
      </c>
      <c r="AJ29" s="87">
        <f t="shared" si="33"/>
        <v>0</v>
      </c>
      <c r="AK29" s="87">
        <f t="shared" si="33"/>
        <v>0</v>
      </c>
      <c r="AL29" s="87">
        <f t="shared" si="33"/>
        <v>0</v>
      </c>
      <c r="AM29" s="87">
        <f t="shared" si="33"/>
        <v>0</v>
      </c>
      <c r="AN29" s="87">
        <f t="shared" si="33"/>
        <v>0</v>
      </c>
      <c r="AO29" s="87">
        <f t="shared" si="33"/>
        <v>0</v>
      </c>
      <c r="AP29" s="87">
        <f t="shared" si="33"/>
        <v>0</v>
      </c>
      <c r="AQ29" s="87">
        <f t="shared" si="33"/>
        <v>0</v>
      </c>
      <c r="AR29" s="87">
        <f t="shared" si="33"/>
        <v>0</v>
      </c>
      <c r="AS29" s="71"/>
      <c r="AT29" s="71"/>
      <c r="AU29" s="71"/>
      <c r="AV29" s="71"/>
      <c r="AW29" s="71"/>
      <c r="AX29" s="71"/>
      <c r="AY29" s="71"/>
      <c r="AZ29" s="71"/>
      <c r="BA29" s="71"/>
    </row>
    <row r="30" spans="1:53" s="56" customFormat="1" ht="21" customHeight="1" outlineLevel="1">
      <c r="A30" s="97" t="s">
        <v>5</v>
      </c>
      <c r="B30" s="125"/>
      <c r="C30" s="165"/>
      <c r="D30" s="87">
        <f t="shared" si="27"/>
        <v>0</v>
      </c>
      <c r="E30" s="336">
        <f t="shared" si="28"/>
        <v>0</v>
      </c>
      <c r="F30" s="336">
        <f t="shared" si="29"/>
        <v>0</v>
      </c>
      <c r="G30" s="93">
        <f t="shared" si="25"/>
        <v>0</v>
      </c>
      <c r="H30" s="93">
        <f t="shared" si="25"/>
        <v>0</v>
      </c>
      <c r="I30" s="87">
        <f>SUM(I31:I32)</f>
        <v>0</v>
      </c>
      <c r="J30" s="87">
        <f t="shared" ref="J30:AR30" si="34">SUM(J31:J32)</f>
        <v>0</v>
      </c>
      <c r="K30" s="87">
        <f t="shared" si="34"/>
        <v>0</v>
      </c>
      <c r="L30" s="87">
        <f t="shared" si="34"/>
        <v>0</v>
      </c>
      <c r="M30" s="87">
        <f t="shared" si="34"/>
        <v>0</v>
      </c>
      <c r="N30" s="87">
        <f t="shared" si="34"/>
        <v>0</v>
      </c>
      <c r="O30" s="87">
        <f t="shared" si="34"/>
        <v>0</v>
      </c>
      <c r="P30" s="87">
        <f t="shared" si="34"/>
        <v>0</v>
      </c>
      <c r="Q30" s="87">
        <f t="shared" si="34"/>
        <v>0</v>
      </c>
      <c r="R30" s="87">
        <f t="shared" si="34"/>
        <v>0</v>
      </c>
      <c r="S30" s="87">
        <f t="shared" si="34"/>
        <v>0</v>
      </c>
      <c r="T30" s="87">
        <f t="shared" si="34"/>
        <v>0</v>
      </c>
      <c r="U30" s="87">
        <f t="shared" si="34"/>
        <v>0</v>
      </c>
      <c r="V30" s="87">
        <f t="shared" si="34"/>
        <v>0</v>
      </c>
      <c r="W30" s="87">
        <f t="shared" si="34"/>
        <v>0</v>
      </c>
      <c r="X30" s="87">
        <f t="shared" si="34"/>
        <v>0</v>
      </c>
      <c r="Y30" s="87">
        <f t="shared" si="34"/>
        <v>0</v>
      </c>
      <c r="Z30" s="87">
        <f t="shared" si="34"/>
        <v>0</v>
      </c>
      <c r="AA30" s="87">
        <f t="shared" si="34"/>
        <v>0</v>
      </c>
      <c r="AB30" s="87">
        <f t="shared" si="34"/>
        <v>0</v>
      </c>
      <c r="AC30" s="87">
        <f t="shared" si="34"/>
        <v>0</v>
      </c>
      <c r="AD30" s="87">
        <f t="shared" si="34"/>
        <v>0</v>
      </c>
      <c r="AE30" s="87">
        <f t="shared" si="34"/>
        <v>0</v>
      </c>
      <c r="AF30" s="87">
        <f t="shared" si="34"/>
        <v>0</v>
      </c>
      <c r="AG30" s="87">
        <f t="shared" si="34"/>
        <v>0</v>
      </c>
      <c r="AH30" s="87">
        <f t="shared" si="34"/>
        <v>0</v>
      </c>
      <c r="AI30" s="87">
        <f t="shared" si="34"/>
        <v>0</v>
      </c>
      <c r="AJ30" s="87">
        <f t="shared" si="34"/>
        <v>0</v>
      </c>
      <c r="AK30" s="87">
        <f t="shared" si="34"/>
        <v>0</v>
      </c>
      <c r="AL30" s="87">
        <f t="shared" si="34"/>
        <v>0</v>
      </c>
      <c r="AM30" s="87">
        <f t="shared" si="34"/>
        <v>0</v>
      </c>
      <c r="AN30" s="87">
        <f t="shared" si="34"/>
        <v>0</v>
      </c>
      <c r="AO30" s="87">
        <f t="shared" si="34"/>
        <v>0</v>
      </c>
      <c r="AP30" s="87">
        <f t="shared" si="34"/>
        <v>0</v>
      </c>
      <c r="AQ30" s="87">
        <f t="shared" si="34"/>
        <v>0</v>
      </c>
      <c r="AR30" s="87">
        <f t="shared" si="34"/>
        <v>0</v>
      </c>
      <c r="AS30" s="71"/>
      <c r="AT30" s="71"/>
      <c r="AU30" s="71"/>
      <c r="AV30" s="71"/>
      <c r="AW30" s="71"/>
      <c r="AX30" s="71"/>
      <c r="AY30" s="71"/>
      <c r="AZ30" s="71"/>
      <c r="BA30" s="71"/>
    </row>
    <row r="31" spans="1:53" s="56" customFormat="1" ht="21" customHeight="1" outlineLevel="2">
      <c r="A31" s="95" t="s">
        <v>34</v>
      </c>
      <c r="B31" s="118"/>
      <c r="C31" s="165"/>
      <c r="D31" s="87">
        <f t="shared" si="27"/>
        <v>0</v>
      </c>
      <c r="E31" s="336">
        <f t="shared" si="28"/>
        <v>0</v>
      </c>
      <c r="F31" s="336">
        <f t="shared" si="29"/>
        <v>0</v>
      </c>
      <c r="G31" s="93">
        <f t="shared" si="25"/>
        <v>0</v>
      </c>
      <c r="H31" s="93">
        <f t="shared" si="25"/>
        <v>0</v>
      </c>
      <c r="I31" s="87">
        <f t="shared" ref="I31:I41" si="35">C31</f>
        <v>0</v>
      </c>
      <c r="J31" s="87">
        <f t="shared" ref="J31:AR36" si="36">I31</f>
        <v>0</v>
      </c>
      <c r="K31" s="87">
        <f t="shared" si="36"/>
        <v>0</v>
      </c>
      <c r="L31" s="87">
        <f t="shared" si="36"/>
        <v>0</v>
      </c>
      <c r="M31" s="87">
        <f t="shared" si="36"/>
        <v>0</v>
      </c>
      <c r="N31" s="87">
        <f t="shared" si="36"/>
        <v>0</v>
      </c>
      <c r="O31" s="87">
        <f t="shared" si="36"/>
        <v>0</v>
      </c>
      <c r="P31" s="87">
        <f t="shared" si="36"/>
        <v>0</v>
      </c>
      <c r="Q31" s="87">
        <f t="shared" si="36"/>
        <v>0</v>
      </c>
      <c r="R31" s="87">
        <f t="shared" si="36"/>
        <v>0</v>
      </c>
      <c r="S31" s="87">
        <f t="shared" si="36"/>
        <v>0</v>
      </c>
      <c r="T31" s="87">
        <f t="shared" si="36"/>
        <v>0</v>
      </c>
      <c r="U31" s="87">
        <f t="shared" ref="U31:U41" si="37">T31*(1+$B$3)</f>
        <v>0</v>
      </c>
      <c r="V31" s="87">
        <f t="shared" si="36"/>
        <v>0</v>
      </c>
      <c r="W31" s="87">
        <f t="shared" si="36"/>
        <v>0</v>
      </c>
      <c r="X31" s="87">
        <f t="shared" si="36"/>
        <v>0</v>
      </c>
      <c r="Y31" s="87">
        <f t="shared" si="36"/>
        <v>0</v>
      </c>
      <c r="Z31" s="87">
        <f>Y31</f>
        <v>0</v>
      </c>
      <c r="AA31" s="87">
        <f t="shared" si="36"/>
        <v>0</v>
      </c>
      <c r="AB31" s="87">
        <f t="shared" si="36"/>
        <v>0</v>
      </c>
      <c r="AC31" s="87">
        <f t="shared" si="36"/>
        <v>0</v>
      </c>
      <c r="AD31" s="87">
        <f t="shared" si="36"/>
        <v>0</v>
      </c>
      <c r="AE31" s="87">
        <f t="shared" si="36"/>
        <v>0</v>
      </c>
      <c r="AF31" s="87">
        <f t="shared" si="36"/>
        <v>0</v>
      </c>
      <c r="AG31" s="87">
        <f t="shared" ref="AG31:AG41" si="38">AF31*(1+$C$3)</f>
        <v>0</v>
      </c>
      <c r="AH31" s="87">
        <f t="shared" si="36"/>
        <v>0</v>
      </c>
      <c r="AI31" s="87">
        <f t="shared" si="36"/>
        <v>0</v>
      </c>
      <c r="AJ31" s="87">
        <f t="shared" si="36"/>
        <v>0</v>
      </c>
      <c r="AK31" s="87">
        <f t="shared" si="36"/>
        <v>0</v>
      </c>
      <c r="AL31" s="87">
        <f t="shared" si="36"/>
        <v>0</v>
      </c>
      <c r="AM31" s="87">
        <f t="shared" si="36"/>
        <v>0</v>
      </c>
      <c r="AN31" s="87">
        <f t="shared" si="36"/>
        <v>0</v>
      </c>
      <c r="AO31" s="87">
        <f t="shared" si="36"/>
        <v>0</v>
      </c>
      <c r="AP31" s="87">
        <f t="shared" si="36"/>
        <v>0</v>
      </c>
      <c r="AQ31" s="87">
        <f t="shared" si="36"/>
        <v>0</v>
      </c>
      <c r="AR31" s="87">
        <f t="shared" si="36"/>
        <v>0</v>
      </c>
      <c r="AS31" s="71"/>
      <c r="AT31" s="71"/>
      <c r="AU31" s="71"/>
      <c r="AV31" s="71"/>
      <c r="AW31" s="71"/>
      <c r="AX31" s="71"/>
      <c r="AY31" s="71"/>
      <c r="AZ31" s="71"/>
      <c r="BA31" s="71"/>
    </row>
    <row r="32" spans="1:53" s="56" customFormat="1" ht="21" customHeight="1" outlineLevel="2">
      <c r="A32" s="95" t="s">
        <v>35</v>
      </c>
      <c r="B32" s="118"/>
      <c r="C32" s="165"/>
      <c r="D32" s="87">
        <f t="shared" si="27"/>
        <v>0</v>
      </c>
      <c r="E32" s="336">
        <f t="shared" si="28"/>
        <v>0</v>
      </c>
      <c r="F32" s="336">
        <f t="shared" si="29"/>
        <v>0</v>
      </c>
      <c r="G32" s="93">
        <f t="shared" si="25"/>
        <v>0</v>
      </c>
      <c r="H32" s="93">
        <f t="shared" si="25"/>
        <v>0</v>
      </c>
      <c r="I32" s="87">
        <f t="shared" si="35"/>
        <v>0</v>
      </c>
      <c r="J32" s="87">
        <f t="shared" si="36"/>
        <v>0</v>
      </c>
      <c r="K32" s="87">
        <f t="shared" si="36"/>
        <v>0</v>
      </c>
      <c r="L32" s="87">
        <f t="shared" si="36"/>
        <v>0</v>
      </c>
      <c r="M32" s="87">
        <f t="shared" si="36"/>
        <v>0</v>
      </c>
      <c r="N32" s="87">
        <f t="shared" si="36"/>
        <v>0</v>
      </c>
      <c r="O32" s="87">
        <f t="shared" si="36"/>
        <v>0</v>
      </c>
      <c r="P32" s="87">
        <f t="shared" si="36"/>
        <v>0</v>
      </c>
      <c r="Q32" s="87">
        <f t="shared" si="36"/>
        <v>0</v>
      </c>
      <c r="R32" s="87">
        <f t="shared" si="36"/>
        <v>0</v>
      </c>
      <c r="S32" s="87">
        <f t="shared" si="36"/>
        <v>0</v>
      </c>
      <c r="T32" s="87">
        <f t="shared" si="36"/>
        <v>0</v>
      </c>
      <c r="U32" s="87">
        <f t="shared" si="37"/>
        <v>0</v>
      </c>
      <c r="V32" s="87">
        <f t="shared" si="36"/>
        <v>0</v>
      </c>
      <c r="W32" s="87">
        <f t="shared" si="36"/>
        <v>0</v>
      </c>
      <c r="X32" s="87">
        <f t="shared" si="36"/>
        <v>0</v>
      </c>
      <c r="Y32" s="87">
        <f t="shared" si="36"/>
        <v>0</v>
      </c>
      <c r="Z32" s="87">
        <f t="shared" si="36"/>
        <v>0</v>
      </c>
      <c r="AA32" s="87">
        <f t="shared" si="36"/>
        <v>0</v>
      </c>
      <c r="AB32" s="87">
        <f t="shared" si="36"/>
        <v>0</v>
      </c>
      <c r="AC32" s="87">
        <f t="shared" si="36"/>
        <v>0</v>
      </c>
      <c r="AD32" s="87">
        <f t="shared" si="36"/>
        <v>0</v>
      </c>
      <c r="AE32" s="87">
        <f t="shared" si="36"/>
        <v>0</v>
      </c>
      <c r="AF32" s="87">
        <f t="shared" si="36"/>
        <v>0</v>
      </c>
      <c r="AG32" s="87">
        <f t="shared" si="38"/>
        <v>0</v>
      </c>
      <c r="AH32" s="87">
        <f t="shared" si="36"/>
        <v>0</v>
      </c>
      <c r="AI32" s="87">
        <f t="shared" si="36"/>
        <v>0</v>
      </c>
      <c r="AJ32" s="87">
        <f t="shared" si="36"/>
        <v>0</v>
      </c>
      <c r="AK32" s="87">
        <f t="shared" si="36"/>
        <v>0</v>
      </c>
      <c r="AL32" s="87">
        <f t="shared" si="36"/>
        <v>0</v>
      </c>
      <c r="AM32" s="87">
        <f t="shared" si="36"/>
        <v>0</v>
      </c>
      <c r="AN32" s="87">
        <f t="shared" si="36"/>
        <v>0</v>
      </c>
      <c r="AO32" s="87">
        <f t="shared" si="36"/>
        <v>0</v>
      </c>
      <c r="AP32" s="87">
        <f t="shared" si="36"/>
        <v>0</v>
      </c>
      <c r="AQ32" s="87">
        <f t="shared" si="36"/>
        <v>0</v>
      </c>
      <c r="AR32" s="87">
        <f t="shared" si="36"/>
        <v>0</v>
      </c>
      <c r="AS32" s="71"/>
      <c r="AT32" s="71"/>
      <c r="AU32" s="71"/>
      <c r="AV32" s="71"/>
      <c r="AW32" s="71"/>
      <c r="AX32" s="71"/>
      <c r="AY32" s="71"/>
      <c r="AZ32" s="71"/>
      <c r="BA32" s="71"/>
    </row>
    <row r="33" spans="1:53" s="56" customFormat="1" ht="21" customHeight="1" outlineLevel="1">
      <c r="A33" s="97" t="s">
        <v>6</v>
      </c>
      <c r="B33" s="118"/>
      <c r="C33" s="165"/>
      <c r="D33" s="336">
        <f t="shared" si="27"/>
        <v>0</v>
      </c>
      <c r="E33" s="336">
        <f t="shared" si="28"/>
        <v>0</v>
      </c>
      <c r="F33" s="336">
        <f t="shared" si="29"/>
        <v>0</v>
      </c>
      <c r="G33" s="93">
        <f t="shared" si="25"/>
        <v>0</v>
      </c>
      <c r="H33" s="93">
        <f t="shared" si="25"/>
        <v>0</v>
      </c>
      <c r="I33" s="87">
        <f t="shared" si="35"/>
        <v>0</v>
      </c>
      <c r="J33" s="87">
        <f t="shared" si="36"/>
        <v>0</v>
      </c>
      <c r="K33" s="87">
        <f t="shared" si="36"/>
        <v>0</v>
      </c>
      <c r="L33" s="87">
        <f t="shared" si="36"/>
        <v>0</v>
      </c>
      <c r="M33" s="87">
        <f t="shared" si="36"/>
        <v>0</v>
      </c>
      <c r="N33" s="87">
        <f t="shared" si="36"/>
        <v>0</v>
      </c>
      <c r="O33" s="87">
        <f t="shared" si="36"/>
        <v>0</v>
      </c>
      <c r="P33" s="87">
        <f t="shared" si="36"/>
        <v>0</v>
      </c>
      <c r="Q33" s="87">
        <f t="shared" si="36"/>
        <v>0</v>
      </c>
      <c r="R33" s="87">
        <f t="shared" si="36"/>
        <v>0</v>
      </c>
      <c r="S33" s="87">
        <f t="shared" si="36"/>
        <v>0</v>
      </c>
      <c r="T33" s="87">
        <f t="shared" si="36"/>
        <v>0</v>
      </c>
      <c r="U33" s="87">
        <f t="shared" si="37"/>
        <v>0</v>
      </c>
      <c r="V33" s="87">
        <f t="shared" si="36"/>
        <v>0</v>
      </c>
      <c r="W33" s="87">
        <f t="shared" si="36"/>
        <v>0</v>
      </c>
      <c r="X33" s="87">
        <f t="shared" si="36"/>
        <v>0</v>
      </c>
      <c r="Y33" s="87">
        <f t="shared" si="36"/>
        <v>0</v>
      </c>
      <c r="Z33" s="87">
        <f t="shared" si="36"/>
        <v>0</v>
      </c>
      <c r="AA33" s="87">
        <f t="shared" si="36"/>
        <v>0</v>
      </c>
      <c r="AB33" s="87">
        <f t="shared" si="36"/>
        <v>0</v>
      </c>
      <c r="AC33" s="87">
        <f t="shared" si="36"/>
        <v>0</v>
      </c>
      <c r="AD33" s="87">
        <f t="shared" si="36"/>
        <v>0</v>
      </c>
      <c r="AE33" s="87">
        <f t="shared" si="36"/>
        <v>0</v>
      </c>
      <c r="AF33" s="87">
        <f t="shared" si="36"/>
        <v>0</v>
      </c>
      <c r="AG33" s="87">
        <f t="shared" si="38"/>
        <v>0</v>
      </c>
      <c r="AH33" s="87">
        <f t="shared" si="36"/>
        <v>0</v>
      </c>
      <c r="AI33" s="87">
        <f t="shared" si="36"/>
        <v>0</v>
      </c>
      <c r="AJ33" s="87">
        <f t="shared" si="36"/>
        <v>0</v>
      </c>
      <c r="AK33" s="87">
        <f t="shared" si="36"/>
        <v>0</v>
      </c>
      <c r="AL33" s="87">
        <f t="shared" si="36"/>
        <v>0</v>
      </c>
      <c r="AM33" s="87">
        <f t="shared" si="36"/>
        <v>0</v>
      </c>
      <c r="AN33" s="87">
        <f t="shared" si="36"/>
        <v>0</v>
      </c>
      <c r="AO33" s="87">
        <f t="shared" si="36"/>
        <v>0</v>
      </c>
      <c r="AP33" s="87">
        <f t="shared" si="36"/>
        <v>0</v>
      </c>
      <c r="AQ33" s="87">
        <f t="shared" si="36"/>
        <v>0</v>
      </c>
      <c r="AR33" s="87">
        <f t="shared" si="36"/>
        <v>0</v>
      </c>
      <c r="AS33" s="71"/>
      <c r="AT33" s="71"/>
      <c r="AU33" s="71"/>
      <c r="AV33" s="71"/>
      <c r="AW33" s="71"/>
      <c r="AX33" s="71"/>
      <c r="AY33" s="71"/>
      <c r="AZ33" s="71"/>
      <c r="BA33" s="71"/>
    </row>
    <row r="34" spans="1:53" s="56" customFormat="1" ht="21" customHeight="1" outlineLevel="1">
      <c r="A34" s="97" t="s">
        <v>222</v>
      </c>
      <c r="B34" s="118"/>
      <c r="C34" s="165"/>
      <c r="D34" s="336">
        <f t="shared" si="27"/>
        <v>0</v>
      </c>
      <c r="E34" s="336">
        <f t="shared" si="28"/>
        <v>0</v>
      </c>
      <c r="F34" s="336">
        <f t="shared" si="29"/>
        <v>0</v>
      </c>
      <c r="G34" s="93">
        <f t="shared" si="25"/>
        <v>0</v>
      </c>
      <c r="H34" s="93">
        <f t="shared" si="25"/>
        <v>0</v>
      </c>
      <c r="I34" s="87">
        <f t="shared" si="35"/>
        <v>0</v>
      </c>
      <c r="J34" s="87">
        <f t="shared" si="36"/>
        <v>0</v>
      </c>
      <c r="K34" s="87">
        <f t="shared" si="36"/>
        <v>0</v>
      </c>
      <c r="L34" s="87">
        <f t="shared" si="36"/>
        <v>0</v>
      </c>
      <c r="M34" s="87">
        <f t="shared" si="36"/>
        <v>0</v>
      </c>
      <c r="N34" s="87">
        <f t="shared" si="36"/>
        <v>0</v>
      </c>
      <c r="O34" s="87">
        <f t="shared" si="36"/>
        <v>0</v>
      </c>
      <c r="P34" s="87">
        <f t="shared" si="36"/>
        <v>0</v>
      </c>
      <c r="Q34" s="87">
        <f t="shared" si="36"/>
        <v>0</v>
      </c>
      <c r="R34" s="87">
        <f t="shared" si="36"/>
        <v>0</v>
      </c>
      <c r="S34" s="87">
        <f t="shared" si="36"/>
        <v>0</v>
      </c>
      <c r="T34" s="87">
        <f t="shared" si="36"/>
        <v>0</v>
      </c>
      <c r="U34" s="87">
        <f t="shared" si="37"/>
        <v>0</v>
      </c>
      <c r="V34" s="87">
        <f t="shared" si="36"/>
        <v>0</v>
      </c>
      <c r="W34" s="87">
        <f t="shared" si="36"/>
        <v>0</v>
      </c>
      <c r="X34" s="87">
        <f t="shared" si="36"/>
        <v>0</v>
      </c>
      <c r="Y34" s="87">
        <f t="shared" si="36"/>
        <v>0</v>
      </c>
      <c r="Z34" s="87">
        <f t="shared" si="36"/>
        <v>0</v>
      </c>
      <c r="AA34" s="87">
        <f t="shared" si="36"/>
        <v>0</v>
      </c>
      <c r="AB34" s="87">
        <f t="shared" si="36"/>
        <v>0</v>
      </c>
      <c r="AC34" s="87">
        <f t="shared" si="36"/>
        <v>0</v>
      </c>
      <c r="AD34" s="87">
        <f t="shared" si="36"/>
        <v>0</v>
      </c>
      <c r="AE34" s="87">
        <f t="shared" si="36"/>
        <v>0</v>
      </c>
      <c r="AF34" s="87">
        <f t="shared" si="36"/>
        <v>0</v>
      </c>
      <c r="AG34" s="87">
        <f t="shared" si="38"/>
        <v>0</v>
      </c>
      <c r="AH34" s="87">
        <f t="shared" si="36"/>
        <v>0</v>
      </c>
      <c r="AI34" s="87">
        <f t="shared" si="36"/>
        <v>0</v>
      </c>
      <c r="AJ34" s="87">
        <f t="shared" si="36"/>
        <v>0</v>
      </c>
      <c r="AK34" s="87">
        <f t="shared" si="36"/>
        <v>0</v>
      </c>
      <c r="AL34" s="87">
        <f t="shared" si="36"/>
        <v>0</v>
      </c>
      <c r="AM34" s="87">
        <f t="shared" si="36"/>
        <v>0</v>
      </c>
      <c r="AN34" s="87">
        <f t="shared" si="36"/>
        <v>0</v>
      </c>
      <c r="AO34" s="87">
        <f t="shared" si="36"/>
        <v>0</v>
      </c>
      <c r="AP34" s="87">
        <f t="shared" si="36"/>
        <v>0</v>
      </c>
      <c r="AQ34" s="87">
        <f t="shared" si="36"/>
        <v>0</v>
      </c>
      <c r="AR34" s="87">
        <f t="shared" si="36"/>
        <v>0</v>
      </c>
      <c r="AS34" s="71"/>
      <c r="AT34" s="71"/>
      <c r="AU34" s="71"/>
      <c r="AV34" s="71"/>
      <c r="AW34" s="71"/>
      <c r="AX34" s="71"/>
      <c r="AY34" s="71"/>
      <c r="AZ34" s="71"/>
      <c r="BA34" s="71"/>
    </row>
    <row r="35" spans="1:53" s="56" customFormat="1" ht="21" customHeight="1" outlineLevel="1">
      <c r="A35" s="97" t="s">
        <v>223</v>
      </c>
      <c r="B35" s="118"/>
      <c r="C35" s="165"/>
      <c r="D35" s="336">
        <f t="shared" si="27"/>
        <v>0</v>
      </c>
      <c r="E35" s="336">
        <f t="shared" si="28"/>
        <v>0</v>
      </c>
      <c r="F35" s="336">
        <f t="shared" si="29"/>
        <v>0</v>
      </c>
      <c r="G35" s="93">
        <f t="shared" si="25"/>
        <v>0</v>
      </c>
      <c r="H35" s="93">
        <f t="shared" si="25"/>
        <v>0</v>
      </c>
      <c r="I35" s="87">
        <f t="shared" si="35"/>
        <v>0</v>
      </c>
      <c r="J35" s="87">
        <f>I35</f>
        <v>0</v>
      </c>
      <c r="K35" s="87">
        <f t="shared" si="36"/>
        <v>0</v>
      </c>
      <c r="L35" s="87">
        <f t="shared" si="36"/>
        <v>0</v>
      </c>
      <c r="M35" s="87">
        <f t="shared" si="36"/>
        <v>0</v>
      </c>
      <c r="N35" s="87">
        <f t="shared" si="36"/>
        <v>0</v>
      </c>
      <c r="O35" s="87">
        <f t="shared" si="36"/>
        <v>0</v>
      </c>
      <c r="P35" s="87">
        <f t="shared" si="36"/>
        <v>0</v>
      </c>
      <c r="Q35" s="87">
        <f t="shared" si="36"/>
        <v>0</v>
      </c>
      <c r="R35" s="87">
        <f t="shared" si="36"/>
        <v>0</v>
      </c>
      <c r="S35" s="87">
        <f t="shared" si="36"/>
        <v>0</v>
      </c>
      <c r="T35" s="87">
        <f t="shared" si="36"/>
        <v>0</v>
      </c>
      <c r="U35" s="87">
        <f t="shared" si="37"/>
        <v>0</v>
      </c>
      <c r="V35" s="87">
        <f t="shared" si="36"/>
        <v>0</v>
      </c>
      <c r="W35" s="87">
        <f t="shared" si="36"/>
        <v>0</v>
      </c>
      <c r="X35" s="87">
        <f t="shared" si="36"/>
        <v>0</v>
      </c>
      <c r="Y35" s="87">
        <f t="shared" si="36"/>
        <v>0</v>
      </c>
      <c r="Z35" s="87">
        <f t="shared" si="36"/>
        <v>0</v>
      </c>
      <c r="AA35" s="87">
        <f t="shared" si="36"/>
        <v>0</v>
      </c>
      <c r="AB35" s="87">
        <f t="shared" si="36"/>
        <v>0</v>
      </c>
      <c r="AC35" s="87">
        <f t="shared" si="36"/>
        <v>0</v>
      </c>
      <c r="AD35" s="87">
        <f t="shared" si="36"/>
        <v>0</v>
      </c>
      <c r="AE35" s="87">
        <f t="shared" si="36"/>
        <v>0</v>
      </c>
      <c r="AF35" s="87">
        <f t="shared" si="36"/>
        <v>0</v>
      </c>
      <c r="AG35" s="87">
        <f t="shared" si="38"/>
        <v>0</v>
      </c>
      <c r="AH35" s="87">
        <f t="shared" si="36"/>
        <v>0</v>
      </c>
      <c r="AI35" s="87">
        <f t="shared" si="36"/>
        <v>0</v>
      </c>
      <c r="AJ35" s="87">
        <f t="shared" si="36"/>
        <v>0</v>
      </c>
      <c r="AK35" s="87">
        <f t="shared" si="36"/>
        <v>0</v>
      </c>
      <c r="AL35" s="87">
        <f t="shared" si="36"/>
        <v>0</v>
      </c>
      <c r="AM35" s="87">
        <f t="shared" si="36"/>
        <v>0</v>
      </c>
      <c r="AN35" s="87">
        <f t="shared" si="36"/>
        <v>0</v>
      </c>
      <c r="AO35" s="87">
        <f t="shared" si="36"/>
        <v>0</v>
      </c>
      <c r="AP35" s="87">
        <f t="shared" si="36"/>
        <v>0</v>
      </c>
      <c r="AQ35" s="87">
        <f t="shared" si="36"/>
        <v>0</v>
      </c>
      <c r="AR35" s="87">
        <f t="shared" si="36"/>
        <v>0</v>
      </c>
      <c r="AS35" s="71"/>
      <c r="AT35" s="71"/>
      <c r="AU35" s="71"/>
      <c r="AV35" s="71"/>
      <c r="AW35" s="71"/>
      <c r="AX35" s="71"/>
      <c r="AY35" s="71"/>
      <c r="AZ35" s="71"/>
      <c r="BA35" s="71"/>
    </row>
    <row r="36" spans="1:53" s="56" customFormat="1" ht="21" customHeight="1" outlineLevel="1">
      <c r="A36" s="97" t="s">
        <v>8</v>
      </c>
      <c r="B36" s="118"/>
      <c r="C36" s="165"/>
      <c r="D36" s="336">
        <f t="shared" si="27"/>
        <v>0</v>
      </c>
      <c r="E36" s="336">
        <f t="shared" si="28"/>
        <v>0</v>
      </c>
      <c r="F36" s="336">
        <f t="shared" si="29"/>
        <v>0</v>
      </c>
      <c r="G36" s="93">
        <f t="shared" si="25"/>
        <v>0</v>
      </c>
      <c r="H36" s="93">
        <f t="shared" si="25"/>
        <v>0</v>
      </c>
      <c r="I36" s="87">
        <f t="shared" si="35"/>
        <v>0</v>
      </c>
      <c r="J36" s="87">
        <f>I36</f>
        <v>0</v>
      </c>
      <c r="K36" s="87">
        <f t="shared" si="36"/>
        <v>0</v>
      </c>
      <c r="L36" s="87">
        <f t="shared" si="36"/>
        <v>0</v>
      </c>
      <c r="M36" s="87">
        <f t="shared" si="36"/>
        <v>0</v>
      </c>
      <c r="N36" s="87">
        <f t="shared" si="36"/>
        <v>0</v>
      </c>
      <c r="O36" s="87">
        <f t="shared" si="36"/>
        <v>0</v>
      </c>
      <c r="P36" s="87">
        <f t="shared" si="36"/>
        <v>0</v>
      </c>
      <c r="Q36" s="87">
        <f t="shared" si="36"/>
        <v>0</v>
      </c>
      <c r="R36" s="87">
        <f t="shared" si="36"/>
        <v>0</v>
      </c>
      <c r="S36" s="87">
        <f t="shared" si="36"/>
        <v>0</v>
      </c>
      <c r="T36" s="87">
        <f t="shared" si="36"/>
        <v>0</v>
      </c>
      <c r="U36" s="87">
        <f t="shared" si="37"/>
        <v>0</v>
      </c>
      <c r="V36" s="87">
        <f t="shared" si="36"/>
        <v>0</v>
      </c>
      <c r="W36" s="87">
        <f t="shared" si="36"/>
        <v>0</v>
      </c>
      <c r="X36" s="87">
        <f t="shared" si="36"/>
        <v>0</v>
      </c>
      <c r="Y36" s="87">
        <f t="shared" si="36"/>
        <v>0</v>
      </c>
      <c r="Z36" s="87">
        <f t="shared" si="36"/>
        <v>0</v>
      </c>
      <c r="AA36" s="87">
        <f t="shared" si="36"/>
        <v>0</v>
      </c>
      <c r="AB36" s="87">
        <f t="shared" si="36"/>
        <v>0</v>
      </c>
      <c r="AC36" s="87">
        <f t="shared" si="36"/>
        <v>0</v>
      </c>
      <c r="AD36" s="87">
        <f t="shared" si="36"/>
        <v>0</v>
      </c>
      <c r="AE36" s="87">
        <f t="shared" si="36"/>
        <v>0</v>
      </c>
      <c r="AF36" s="87">
        <f t="shared" si="36"/>
        <v>0</v>
      </c>
      <c r="AG36" s="87">
        <f t="shared" si="38"/>
        <v>0</v>
      </c>
      <c r="AH36" s="87">
        <f t="shared" si="36"/>
        <v>0</v>
      </c>
      <c r="AI36" s="87">
        <f t="shared" si="36"/>
        <v>0</v>
      </c>
      <c r="AJ36" s="87">
        <f t="shared" si="36"/>
        <v>0</v>
      </c>
      <c r="AK36" s="87">
        <f t="shared" si="36"/>
        <v>0</v>
      </c>
      <c r="AL36" s="87">
        <f t="shared" si="36"/>
        <v>0</v>
      </c>
      <c r="AM36" s="87">
        <f t="shared" si="36"/>
        <v>0</v>
      </c>
      <c r="AN36" s="87">
        <f t="shared" si="36"/>
        <v>0</v>
      </c>
      <c r="AO36" s="87">
        <f t="shared" si="36"/>
        <v>0</v>
      </c>
      <c r="AP36" s="87">
        <f t="shared" si="36"/>
        <v>0</v>
      </c>
      <c r="AQ36" s="87">
        <f t="shared" si="36"/>
        <v>0</v>
      </c>
      <c r="AR36" s="87">
        <f t="shared" si="36"/>
        <v>0</v>
      </c>
      <c r="AS36" s="71"/>
      <c r="AT36" s="71"/>
      <c r="AU36" s="71"/>
      <c r="AV36" s="71"/>
      <c r="AW36" s="71"/>
      <c r="AX36" s="71"/>
      <c r="AY36" s="71"/>
      <c r="AZ36" s="71"/>
      <c r="BA36" s="71"/>
    </row>
    <row r="37" spans="1:53" s="56" customFormat="1" ht="21" customHeight="1" outlineLevel="1">
      <c r="A37" s="97" t="s">
        <v>224</v>
      </c>
      <c r="B37" s="118"/>
      <c r="C37" s="165"/>
      <c r="D37" s="336">
        <f t="shared" si="27"/>
        <v>0</v>
      </c>
      <c r="E37" s="336">
        <f t="shared" si="28"/>
        <v>0</v>
      </c>
      <c r="F37" s="336">
        <f t="shared" si="29"/>
        <v>0</v>
      </c>
      <c r="G37" s="93">
        <f t="shared" si="25"/>
        <v>0</v>
      </c>
      <c r="H37" s="93">
        <f t="shared" si="25"/>
        <v>0</v>
      </c>
      <c r="I37" s="87">
        <f t="shared" si="35"/>
        <v>0</v>
      </c>
      <c r="J37" s="87">
        <f t="shared" ref="J37:AR42" si="39">I37</f>
        <v>0</v>
      </c>
      <c r="K37" s="87">
        <f t="shared" si="39"/>
        <v>0</v>
      </c>
      <c r="L37" s="87">
        <f t="shared" si="39"/>
        <v>0</v>
      </c>
      <c r="M37" s="87">
        <f t="shared" si="39"/>
        <v>0</v>
      </c>
      <c r="N37" s="87">
        <f t="shared" si="39"/>
        <v>0</v>
      </c>
      <c r="O37" s="87">
        <f t="shared" si="39"/>
        <v>0</v>
      </c>
      <c r="P37" s="87">
        <f t="shared" si="39"/>
        <v>0</v>
      </c>
      <c r="Q37" s="87">
        <f t="shared" si="39"/>
        <v>0</v>
      </c>
      <c r="R37" s="87">
        <f t="shared" si="39"/>
        <v>0</v>
      </c>
      <c r="S37" s="87">
        <f t="shared" si="39"/>
        <v>0</v>
      </c>
      <c r="T37" s="87">
        <f t="shared" si="39"/>
        <v>0</v>
      </c>
      <c r="U37" s="87">
        <f t="shared" si="37"/>
        <v>0</v>
      </c>
      <c r="V37" s="87">
        <f t="shared" si="39"/>
        <v>0</v>
      </c>
      <c r="W37" s="87">
        <f t="shared" si="39"/>
        <v>0</v>
      </c>
      <c r="X37" s="87">
        <f t="shared" si="39"/>
        <v>0</v>
      </c>
      <c r="Y37" s="87">
        <f t="shared" si="39"/>
        <v>0</v>
      </c>
      <c r="Z37" s="87">
        <f t="shared" si="39"/>
        <v>0</v>
      </c>
      <c r="AA37" s="87">
        <f t="shared" si="39"/>
        <v>0</v>
      </c>
      <c r="AB37" s="87">
        <f t="shared" si="39"/>
        <v>0</v>
      </c>
      <c r="AC37" s="87">
        <f t="shared" si="39"/>
        <v>0</v>
      </c>
      <c r="AD37" s="87">
        <f t="shared" si="39"/>
        <v>0</v>
      </c>
      <c r="AE37" s="87">
        <f t="shared" si="39"/>
        <v>0</v>
      </c>
      <c r="AF37" s="87">
        <f t="shared" si="39"/>
        <v>0</v>
      </c>
      <c r="AG37" s="87">
        <f t="shared" si="38"/>
        <v>0</v>
      </c>
      <c r="AH37" s="87">
        <f t="shared" si="39"/>
        <v>0</v>
      </c>
      <c r="AI37" s="87">
        <f t="shared" si="39"/>
        <v>0</v>
      </c>
      <c r="AJ37" s="87">
        <f t="shared" si="39"/>
        <v>0</v>
      </c>
      <c r="AK37" s="87">
        <f t="shared" si="39"/>
        <v>0</v>
      </c>
      <c r="AL37" s="87">
        <f t="shared" si="39"/>
        <v>0</v>
      </c>
      <c r="AM37" s="87">
        <f t="shared" si="39"/>
        <v>0</v>
      </c>
      <c r="AN37" s="87">
        <f t="shared" si="39"/>
        <v>0</v>
      </c>
      <c r="AO37" s="87">
        <f t="shared" si="39"/>
        <v>0</v>
      </c>
      <c r="AP37" s="87">
        <f t="shared" si="39"/>
        <v>0</v>
      </c>
      <c r="AQ37" s="87">
        <f t="shared" si="39"/>
        <v>0</v>
      </c>
      <c r="AR37" s="87">
        <f t="shared" si="39"/>
        <v>0</v>
      </c>
      <c r="AS37" s="71"/>
      <c r="AT37" s="71"/>
      <c r="AU37" s="71"/>
      <c r="AV37" s="71"/>
      <c r="AW37" s="71"/>
      <c r="AX37" s="71"/>
      <c r="AY37" s="71"/>
      <c r="AZ37" s="71"/>
      <c r="BA37" s="71"/>
    </row>
    <row r="38" spans="1:53" s="56" customFormat="1" ht="21" customHeight="1" outlineLevel="1">
      <c r="A38" s="97" t="s">
        <v>9</v>
      </c>
      <c r="B38" s="118"/>
      <c r="C38" s="165"/>
      <c r="D38" s="336">
        <f t="shared" si="27"/>
        <v>0</v>
      </c>
      <c r="E38" s="336">
        <f t="shared" si="28"/>
        <v>0</v>
      </c>
      <c r="F38" s="336">
        <f t="shared" si="29"/>
        <v>0</v>
      </c>
      <c r="G38" s="93">
        <f t="shared" ref="G38:H50" si="40">IFERROR(E38/D38-1,0)</f>
        <v>0</v>
      </c>
      <c r="H38" s="93">
        <f t="shared" si="40"/>
        <v>0</v>
      </c>
      <c r="I38" s="87">
        <f t="shared" si="35"/>
        <v>0</v>
      </c>
      <c r="J38" s="87">
        <f t="shared" si="39"/>
        <v>0</v>
      </c>
      <c r="K38" s="87">
        <f t="shared" si="39"/>
        <v>0</v>
      </c>
      <c r="L38" s="87">
        <f t="shared" si="39"/>
        <v>0</v>
      </c>
      <c r="M38" s="87">
        <f t="shared" si="39"/>
        <v>0</v>
      </c>
      <c r="N38" s="87">
        <f t="shared" si="39"/>
        <v>0</v>
      </c>
      <c r="O38" s="87">
        <f t="shared" si="39"/>
        <v>0</v>
      </c>
      <c r="P38" s="87">
        <f t="shared" si="39"/>
        <v>0</v>
      </c>
      <c r="Q38" s="87">
        <f t="shared" si="39"/>
        <v>0</v>
      </c>
      <c r="R38" s="87">
        <f t="shared" si="39"/>
        <v>0</v>
      </c>
      <c r="S38" s="87">
        <f t="shared" si="39"/>
        <v>0</v>
      </c>
      <c r="T38" s="87">
        <f t="shared" si="39"/>
        <v>0</v>
      </c>
      <c r="U38" s="87">
        <f t="shared" si="37"/>
        <v>0</v>
      </c>
      <c r="V38" s="87">
        <f t="shared" si="39"/>
        <v>0</v>
      </c>
      <c r="W38" s="87">
        <f t="shared" si="39"/>
        <v>0</v>
      </c>
      <c r="X38" s="87">
        <f t="shared" si="39"/>
        <v>0</v>
      </c>
      <c r="Y38" s="87">
        <f t="shared" si="39"/>
        <v>0</v>
      </c>
      <c r="Z38" s="87">
        <f t="shared" si="39"/>
        <v>0</v>
      </c>
      <c r="AA38" s="87">
        <f t="shared" si="39"/>
        <v>0</v>
      </c>
      <c r="AB38" s="87">
        <f t="shared" si="39"/>
        <v>0</v>
      </c>
      <c r="AC38" s="87">
        <f t="shared" si="39"/>
        <v>0</v>
      </c>
      <c r="AD38" s="87">
        <f t="shared" si="39"/>
        <v>0</v>
      </c>
      <c r="AE38" s="87">
        <f t="shared" si="39"/>
        <v>0</v>
      </c>
      <c r="AF38" s="87">
        <f t="shared" si="39"/>
        <v>0</v>
      </c>
      <c r="AG38" s="87">
        <f t="shared" si="38"/>
        <v>0</v>
      </c>
      <c r="AH38" s="87">
        <f t="shared" si="39"/>
        <v>0</v>
      </c>
      <c r="AI38" s="87">
        <f t="shared" si="39"/>
        <v>0</v>
      </c>
      <c r="AJ38" s="87">
        <f t="shared" si="39"/>
        <v>0</v>
      </c>
      <c r="AK38" s="87">
        <f t="shared" si="39"/>
        <v>0</v>
      </c>
      <c r="AL38" s="87">
        <f t="shared" si="39"/>
        <v>0</v>
      </c>
      <c r="AM38" s="87">
        <f t="shared" si="39"/>
        <v>0</v>
      </c>
      <c r="AN38" s="87">
        <f t="shared" si="39"/>
        <v>0</v>
      </c>
      <c r="AO38" s="87">
        <f t="shared" si="39"/>
        <v>0</v>
      </c>
      <c r="AP38" s="87">
        <f t="shared" si="39"/>
        <v>0</v>
      </c>
      <c r="AQ38" s="87">
        <f t="shared" si="39"/>
        <v>0</v>
      </c>
      <c r="AR38" s="87">
        <f t="shared" si="39"/>
        <v>0</v>
      </c>
      <c r="AS38" s="71"/>
      <c r="AT38" s="71"/>
      <c r="AU38" s="71"/>
      <c r="AV38" s="71"/>
      <c r="AW38" s="71"/>
      <c r="AX38" s="71"/>
      <c r="AY38" s="71"/>
      <c r="AZ38" s="71"/>
      <c r="BA38" s="71"/>
    </row>
    <row r="39" spans="1:53" s="56" customFormat="1" ht="21" customHeight="1" outlineLevel="1">
      <c r="A39" s="97" t="s">
        <v>12</v>
      </c>
      <c r="B39" s="118"/>
      <c r="C39" s="165"/>
      <c r="D39" s="336">
        <f t="shared" si="27"/>
        <v>0</v>
      </c>
      <c r="E39" s="336">
        <f t="shared" si="28"/>
        <v>0</v>
      </c>
      <c r="F39" s="336">
        <f t="shared" si="29"/>
        <v>0</v>
      </c>
      <c r="G39" s="93">
        <f t="shared" si="40"/>
        <v>0</v>
      </c>
      <c r="H39" s="93">
        <f t="shared" si="40"/>
        <v>0</v>
      </c>
      <c r="I39" s="87">
        <f t="shared" si="35"/>
        <v>0</v>
      </c>
      <c r="J39" s="87">
        <f t="shared" si="39"/>
        <v>0</v>
      </c>
      <c r="K39" s="87">
        <f t="shared" si="39"/>
        <v>0</v>
      </c>
      <c r="L39" s="87">
        <f t="shared" si="39"/>
        <v>0</v>
      </c>
      <c r="M39" s="87">
        <f t="shared" si="39"/>
        <v>0</v>
      </c>
      <c r="N39" s="87">
        <f t="shared" si="39"/>
        <v>0</v>
      </c>
      <c r="O39" s="87">
        <f t="shared" si="39"/>
        <v>0</v>
      </c>
      <c r="P39" s="87">
        <f t="shared" si="39"/>
        <v>0</v>
      </c>
      <c r="Q39" s="87">
        <f t="shared" si="39"/>
        <v>0</v>
      </c>
      <c r="R39" s="87">
        <f t="shared" si="39"/>
        <v>0</v>
      </c>
      <c r="S39" s="87">
        <f t="shared" si="39"/>
        <v>0</v>
      </c>
      <c r="T39" s="87">
        <f t="shared" si="39"/>
        <v>0</v>
      </c>
      <c r="U39" s="87">
        <f t="shared" si="37"/>
        <v>0</v>
      </c>
      <c r="V39" s="87">
        <f t="shared" si="39"/>
        <v>0</v>
      </c>
      <c r="W39" s="87">
        <f t="shared" si="39"/>
        <v>0</v>
      </c>
      <c r="X39" s="87">
        <f t="shared" si="39"/>
        <v>0</v>
      </c>
      <c r="Y39" s="87">
        <f t="shared" si="39"/>
        <v>0</v>
      </c>
      <c r="Z39" s="87">
        <f t="shared" si="39"/>
        <v>0</v>
      </c>
      <c r="AA39" s="87">
        <f t="shared" si="39"/>
        <v>0</v>
      </c>
      <c r="AB39" s="87">
        <f t="shared" si="39"/>
        <v>0</v>
      </c>
      <c r="AC39" s="87">
        <f t="shared" si="39"/>
        <v>0</v>
      </c>
      <c r="AD39" s="87">
        <f t="shared" si="39"/>
        <v>0</v>
      </c>
      <c r="AE39" s="87">
        <f t="shared" si="39"/>
        <v>0</v>
      </c>
      <c r="AF39" s="87">
        <f t="shared" si="39"/>
        <v>0</v>
      </c>
      <c r="AG39" s="87">
        <f t="shared" si="38"/>
        <v>0</v>
      </c>
      <c r="AH39" s="87">
        <f t="shared" si="39"/>
        <v>0</v>
      </c>
      <c r="AI39" s="87">
        <f t="shared" si="39"/>
        <v>0</v>
      </c>
      <c r="AJ39" s="87">
        <f t="shared" si="39"/>
        <v>0</v>
      </c>
      <c r="AK39" s="87">
        <f t="shared" si="39"/>
        <v>0</v>
      </c>
      <c r="AL39" s="87">
        <f t="shared" si="39"/>
        <v>0</v>
      </c>
      <c r="AM39" s="87">
        <f t="shared" si="39"/>
        <v>0</v>
      </c>
      <c r="AN39" s="87">
        <f t="shared" si="39"/>
        <v>0</v>
      </c>
      <c r="AO39" s="87">
        <f t="shared" si="39"/>
        <v>0</v>
      </c>
      <c r="AP39" s="87">
        <f t="shared" si="39"/>
        <v>0</v>
      </c>
      <c r="AQ39" s="87">
        <f t="shared" si="39"/>
        <v>0</v>
      </c>
      <c r="AR39" s="87">
        <f t="shared" si="39"/>
        <v>0</v>
      </c>
      <c r="AS39" s="71"/>
      <c r="AT39" s="71"/>
      <c r="AU39" s="71"/>
      <c r="AV39" s="71"/>
      <c r="AW39" s="71"/>
      <c r="AX39" s="71"/>
      <c r="AY39" s="71"/>
      <c r="AZ39" s="71"/>
      <c r="BA39" s="71"/>
    </row>
    <row r="40" spans="1:53" s="56" customFormat="1" ht="21" customHeight="1" outlineLevel="1">
      <c r="A40" s="97" t="s">
        <v>7</v>
      </c>
      <c r="B40" s="118"/>
      <c r="C40" s="105"/>
      <c r="D40" s="336">
        <f t="shared" si="27"/>
        <v>0</v>
      </c>
      <c r="E40" s="336">
        <f t="shared" si="28"/>
        <v>0</v>
      </c>
      <c r="F40" s="336">
        <f t="shared" si="29"/>
        <v>0</v>
      </c>
      <c r="G40" s="93">
        <f t="shared" si="40"/>
        <v>0</v>
      </c>
      <c r="H40" s="93">
        <f t="shared" si="40"/>
        <v>0</v>
      </c>
      <c r="I40" s="87">
        <f t="shared" si="35"/>
        <v>0</v>
      </c>
      <c r="J40" s="87">
        <f t="shared" si="39"/>
        <v>0</v>
      </c>
      <c r="K40" s="87">
        <f t="shared" si="39"/>
        <v>0</v>
      </c>
      <c r="L40" s="87">
        <f t="shared" si="39"/>
        <v>0</v>
      </c>
      <c r="M40" s="87">
        <f t="shared" si="39"/>
        <v>0</v>
      </c>
      <c r="N40" s="87">
        <f t="shared" si="39"/>
        <v>0</v>
      </c>
      <c r="O40" s="87">
        <f t="shared" si="39"/>
        <v>0</v>
      </c>
      <c r="P40" s="87">
        <f t="shared" si="39"/>
        <v>0</v>
      </c>
      <c r="Q40" s="87">
        <f t="shared" si="39"/>
        <v>0</v>
      </c>
      <c r="R40" s="87">
        <f t="shared" si="39"/>
        <v>0</v>
      </c>
      <c r="S40" s="87">
        <f t="shared" si="39"/>
        <v>0</v>
      </c>
      <c r="T40" s="87">
        <f t="shared" si="39"/>
        <v>0</v>
      </c>
      <c r="U40" s="87">
        <f t="shared" si="37"/>
        <v>0</v>
      </c>
      <c r="V40" s="87">
        <f t="shared" si="39"/>
        <v>0</v>
      </c>
      <c r="W40" s="87">
        <f t="shared" si="39"/>
        <v>0</v>
      </c>
      <c r="X40" s="87">
        <f t="shared" si="39"/>
        <v>0</v>
      </c>
      <c r="Y40" s="87">
        <f t="shared" si="39"/>
        <v>0</v>
      </c>
      <c r="Z40" s="87">
        <f t="shared" si="39"/>
        <v>0</v>
      </c>
      <c r="AA40" s="87">
        <f t="shared" si="39"/>
        <v>0</v>
      </c>
      <c r="AB40" s="87">
        <f t="shared" si="39"/>
        <v>0</v>
      </c>
      <c r="AC40" s="87">
        <f t="shared" si="39"/>
        <v>0</v>
      </c>
      <c r="AD40" s="87">
        <f t="shared" si="39"/>
        <v>0</v>
      </c>
      <c r="AE40" s="87">
        <f t="shared" si="39"/>
        <v>0</v>
      </c>
      <c r="AF40" s="87">
        <f t="shared" si="39"/>
        <v>0</v>
      </c>
      <c r="AG40" s="87">
        <f t="shared" si="38"/>
        <v>0</v>
      </c>
      <c r="AH40" s="87">
        <f t="shared" si="39"/>
        <v>0</v>
      </c>
      <c r="AI40" s="87">
        <f t="shared" si="39"/>
        <v>0</v>
      </c>
      <c r="AJ40" s="87">
        <f t="shared" si="39"/>
        <v>0</v>
      </c>
      <c r="AK40" s="87">
        <f t="shared" si="39"/>
        <v>0</v>
      </c>
      <c r="AL40" s="87">
        <f t="shared" si="39"/>
        <v>0</v>
      </c>
      <c r="AM40" s="87">
        <f t="shared" si="39"/>
        <v>0</v>
      </c>
      <c r="AN40" s="87">
        <f t="shared" si="39"/>
        <v>0</v>
      </c>
      <c r="AO40" s="87">
        <f t="shared" si="39"/>
        <v>0</v>
      </c>
      <c r="AP40" s="87">
        <f t="shared" si="39"/>
        <v>0</v>
      </c>
      <c r="AQ40" s="87">
        <f t="shared" si="39"/>
        <v>0</v>
      </c>
      <c r="AR40" s="87">
        <f t="shared" si="39"/>
        <v>0</v>
      </c>
      <c r="AS40" s="71"/>
      <c r="AT40" s="71"/>
      <c r="AU40" s="71"/>
      <c r="AV40" s="71"/>
      <c r="AW40" s="71"/>
      <c r="AX40" s="71"/>
      <c r="AY40" s="71"/>
      <c r="AZ40" s="71"/>
      <c r="BA40" s="71"/>
    </row>
    <row r="41" spans="1:53" s="56" customFormat="1" ht="21" customHeight="1" outlineLevel="1">
      <c r="A41" s="97" t="s">
        <v>225</v>
      </c>
      <c r="B41" s="118"/>
      <c r="C41" s="105"/>
      <c r="D41" s="336">
        <f t="shared" si="27"/>
        <v>0</v>
      </c>
      <c r="E41" s="336">
        <f t="shared" si="28"/>
        <v>0</v>
      </c>
      <c r="F41" s="336">
        <f t="shared" si="29"/>
        <v>0</v>
      </c>
      <c r="G41" s="93">
        <f t="shared" si="40"/>
        <v>0</v>
      </c>
      <c r="H41" s="93">
        <f t="shared" si="40"/>
        <v>0</v>
      </c>
      <c r="I41" s="87">
        <f t="shared" si="35"/>
        <v>0</v>
      </c>
      <c r="J41" s="87">
        <f t="shared" si="39"/>
        <v>0</v>
      </c>
      <c r="K41" s="87">
        <f t="shared" si="39"/>
        <v>0</v>
      </c>
      <c r="L41" s="87">
        <f t="shared" si="39"/>
        <v>0</v>
      </c>
      <c r="M41" s="87">
        <f t="shared" si="39"/>
        <v>0</v>
      </c>
      <c r="N41" s="87">
        <f t="shared" si="39"/>
        <v>0</v>
      </c>
      <c r="O41" s="87">
        <f t="shared" si="39"/>
        <v>0</v>
      </c>
      <c r="P41" s="87">
        <f t="shared" si="39"/>
        <v>0</v>
      </c>
      <c r="Q41" s="87">
        <f t="shared" si="39"/>
        <v>0</v>
      </c>
      <c r="R41" s="87">
        <f t="shared" si="39"/>
        <v>0</v>
      </c>
      <c r="S41" s="87">
        <f t="shared" si="39"/>
        <v>0</v>
      </c>
      <c r="T41" s="87">
        <f t="shared" si="39"/>
        <v>0</v>
      </c>
      <c r="U41" s="87">
        <f t="shared" si="37"/>
        <v>0</v>
      </c>
      <c r="V41" s="87">
        <f t="shared" si="39"/>
        <v>0</v>
      </c>
      <c r="W41" s="87">
        <f t="shared" si="39"/>
        <v>0</v>
      </c>
      <c r="X41" s="87">
        <f t="shared" si="39"/>
        <v>0</v>
      </c>
      <c r="Y41" s="87">
        <f t="shared" si="39"/>
        <v>0</v>
      </c>
      <c r="Z41" s="87">
        <f t="shared" si="39"/>
        <v>0</v>
      </c>
      <c r="AA41" s="87">
        <f t="shared" si="39"/>
        <v>0</v>
      </c>
      <c r="AB41" s="87">
        <f t="shared" si="39"/>
        <v>0</v>
      </c>
      <c r="AC41" s="87">
        <f t="shared" si="39"/>
        <v>0</v>
      </c>
      <c r="AD41" s="87">
        <f t="shared" si="39"/>
        <v>0</v>
      </c>
      <c r="AE41" s="87">
        <f t="shared" si="39"/>
        <v>0</v>
      </c>
      <c r="AF41" s="87">
        <f t="shared" si="39"/>
        <v>0</v>
      </c>
      <c r="AG41" s="87">
        <f t="shared" si="38"/>
        <v>0</v>
      </c>
      <c r="AH41" s="87">
        <f t="shared" si="39"/>
        <v>0</v>
      </c>
      <c r="AI41" s="87">
        <f t="shared" si="39"/>
        <v>0</v>
      </c>
      <c r="AJ41" s="87">
        <f t="shared" si="39"/>
        <v>0</v>
      </c>
      <c r="AK41" s="87">
        <f t="shared" si="39"/>
        <v>0</v>
      </c>
      <c r="AL41" s="87">
        <f t="shared" si="39"/>
        <v>0</v>
      </c>
      <c r="AM41" s="87">
        <f t="shared" si="39"/>
        <v>0</v>
      </c>
      <c r="AN41" s="87">
        <f t="shared" si="39"/>
        <v>0</v>
      </c>
      <c r="AO41" s="87">
        <f t="shared" si="39"/>
        <v>0</v>
      </c>
      <c r="AP41" s="87">
        <f t="shared" si="39"/>
        <v>0</v>
      </c>
      <c r="AQ41" s="87">
        <f t="shared" si="39"/>
        <v>0</v>
      </c>
      <c r="AR41" s="87">
        <f t="shared" si="39"/>
        <v>0</v>
      </c>
      <c r="AS41" s="71"/>
      <c r="AT41" s="71"/>
      <c r="AU41" s="71"/>
      <c r="AV41" s="71"/>
      <c r="AW41" s="71"/>
      <c r="AX41" s="71"/>
      <c r="AY41" s="71"/>
      <c r="AZ41" s="71"/>
      <c r="BA41" s="71"/>
    </row>
    <row r="42" spans="1:53" s="56" customFormat="1" ht="21" customHeight="1" outlineLevel="1">
      <c r="A42" s="97" t="s">
        <v>10</v>
      </c>
      <c r="B42" s="118"/>
      <c r="C42" s="104"/>
      <c r="D42" s="336">
        <f t="shared" si="27"/>
        <v>0</v>
      </c>
      <c r="E42" s="336">
        <f t="shared" si="28"/>
        <v>0</v>
      </c>
      <c r="F42" s="336">
        <f t="shared" si="29"/>
        <v>0</v>
      </c>
      <c r="G42" s="93">
        <f t="shared" si="40"/>
        <v>0</v>
      </c>
      <c r="H42" s="93">
        <f t="shared" si="40"/>
        <v>0</v>
      </c>
      <c r="I42" s="87">
        <f>SUM(I43:I47)</f>
        <v>0</v>
      </c>
      <c r="J42" s="87">
        <f>SUM(J43:J47)</f>
        <v>0</v>
      </c>
      <c r="K42" s="87">
        <f t="shared" ref="K42:AE42" si="41">SUM(K43:K47)</f>
        <v>0</v>
      </c>
      <c r="L42" s="87">
        <f t="shared" si="41"/>
        <v>0</v>
      </c>
      <c r="M42" s="87">
        <f t="shared" si="41"/>
        <v>0</v>
      </c>
      <c r="N42" s="87">
        <f t="shared" si="41"/>
        <v>0</v>
      </c>
      <c r="O42" s="87">
        <f t="shared" si="41"/>
        <v>0</v>
      </c>
      <c r="P42" s="87">
        <f t="shared" si="41"/>
        <v>0</v>
      </c>
      <c r="Q42" s="87">
        <f t="shared" si="41"/>
        <v>0</v>
      </c>
      <c r="R42" s="87">
        <f t="shared" si="41"/>
        <v>0</v>
      </c>
      <c r="S42" s="87">
        <f t="shared" si="41"/>
        <v>0</v>
      </c>
      <c r="T42" s="87">
        <f t="shared" si="41"/>
        <v>0</v>
      </c>
      <c r="U42" s="87">
        <f t="shared" si="41"/>
        <v>0</v>
      </c>
      <c r="V42" s="87">
        <f t="shared" si="41"/>
        <v>0</v>
      </c>
      <c r="W42" s="87">
        <f t="shared" si="41"/>
        <v>0</v>
      </c>
      <c r="X42" s="87">
        <f t="shared" si="41"/>
        <v>0</v>
      </c>
      <c r="Y42" s="87">
        <f t="shared" si="41"/>
        <v>0</v>
      </c>
      <c r="Z42" s="87">
        <f t="shared" si="41"/>
        <v>0</v>
      </c>
      <c r="AA42" s="87">
        <f t="shared" si="41"/>
        <v>0</v>
      </c>
      <c r="AB42" s="87">
        <f t="shared" si="41"/>
        <v>0</v>
      </c>
      <c r="AC42" s="87">
        <f t="shared" si="41"/>
        <v>0</v>
      </c>
      <c r="AD42" s="87">
        <f t="shared" si="41"/>
        <v>0</v>
      </c>
      <c r="AE42" s="87">
        <f t="shared" si="41"/>
        <v>0</v>
      </c>
      <c r="AF42" s="87">
        <f t="shared" si="39"/>
        <v>0</v>
      </c>
      <c r="AG42" s="87">
        <f t="shared" si="39"/>
        <v>0</v>
      </c>
      <c r="AH42" s="87">
        <f t="shared" si="39"/>
        <v>0</v>
      </c>
      <c r="AI42" s="87">
        <f t="shared" si="39"/>
        <v>0</v>
      </c>
      <c r="AJ42" s="87">
        <f t="shared" si="39"/>
        <v>0</v>
      </c>
      <c r="AK42" s="87">
        <f t="shared" si="39"/>
        <v>0</v>
      </c>
      <c r="AL42" s="87">
        <f t="shared" si="39"/>
        <v>0</v>
      </c>
      <c r="AM42" s="87">
        <f t="shared" si="39"/>
        <v>0</v>
      </c>
      <c r="AN42" s="87">
        <f t="shared" si="39"/>
        <v>0</v>
      </c>
      <c r="AO42" s="87">
        <f t="shared" si="39"/>
        <v>0</v>
      </c>
      <c r="AP42" s="87">
        <f t="shared" si="39"/>
        <v>0</v>
      </c>
      <c r="AQ42" s="87">
        <f t="shared" si="39"/>
        <v>0</v>
      </c>
      <c r="AR42" s="87">
        <f t="shared" si="39"/>
        <v>0</v>
      </c>
      <c r="AS42" s="71"/>
      <c r="AT42" s="71"/>
      <c r="AU42" s="71"/>
      <c r="AV42" s="71"/>
      <c r="AW42" s="71"/>
      <c r="AX42" s="71"/>
      <c r="AY42" s="71"/>
      <c r="AZ42" s="71"/>
      <c r="BA42" s="71"/>
    </row>
    <row r="43" spans="1:53" s="56" customFormat="1" ht="21" customHeight="1" outlineLevel="2">
      <c r="A43" s="95" t="s">
        <v>38</v>
      </c>
      <c r="B43" s="118">
        <v>500</v>
      </c>
      <c r="C43" s="165"/>
      <c r="D43" s="336">
        <f t="shared" si="27"/>
        <v>0</v>
      </c>
      <c r="E43" s="336">
        <f t="shared" si="28"/>
        <v>0</v>
      </c>
      <c r="F43" s="336">
        <f t="shared" si="29"/>
        <v>0</v>
      </c>
      <c r="G43" s="93">
        <f t="shared" si="40"/>
        <v>0</v>
      </c>
      <c r="H43" s="93">
        <f t="shared" si="40"/>
        <v>0</v>
      </c>
      <c r="I43" s="87">
        <f>C43</f>
        <v>0</v>
      </c>
      <c r="J43" s="87">
        <f t="shared" ref="J43:AR46" si="42">I43</f>
        <v>0</v>
      </c>
      <c r="K43" s="87">
        <f t="shared" si="42"/>
        <v>0</v>
      </c>
      <c r="L43" s="87">
        <f t="shared" si="42"/>
        <v>0</v>
      </c>
      <c r="M43" s="87">
        <f t="shared" si="42"/>
        <v>0</v>
      </c>
      <c r="N43" s="87">
        <f t="shared" si="42"/>
        <v>0</v>
      </c>
      <c r="O43" s="87">
        <f t="shared" si="42"/>
        <v>0</v>
      </c>
      <c r="P43" s="87">
        <f t="shared" si="42"/>
        <v>0</v>
      </c>
      <c r="Q43" s="87">
        <f t="shared" si="42"/>
        <v>0</v>
      </c>
      <c r="R43" s="87">
        <f t="shared" si="42"/>
        <v>0</v>
      </c>
      <c r="S43" s="87">
        <f t="shared" si="42"/>
        <v>0</v>
      </c>
      <c r="T43" s="87">
        <f t="shared" si="42"/>
        <v>0</v>
      </c>
      <c r="U43" s="87">
        <f>T43*(1+$B$3)</f>
        <v>0</v>
      </c>
      <c r="V43" s="87">
        <f t="shared" si="42"/>
        <v>0</v>
      </c>
      <c r="W43" s="87">
        <f t="shared" si="42"/>
        <v>0</v>
      </c>
      <c r="X43" s="87">
        <f t="shared" si="42"/>
        <v>0</v>
      </c>
      <c r="Y43" s="87">
        <f t="shared" si="42"/>
        <v>0</v>
      </c>
      <c r="Z43" s="87">
        <f t="shared" si="42"/>
        <v>0</v>
      </c>
      <c r="AA43" s="87">
        <f t="shared" si="42"/>
        <v>0</v>
      </c>
      <c r="AB43" s="87">
        <f t="shared" si="42"/>
        <v>0</v>
      </c>
      <c r="AC43" s="87">
        <f t="shared" si="42"/>
        <v>0</v>
      </c>
      <c r="AD43" s="87">
        <f t="shared" si="42"/>
        <v>0</v>
      </c>
      <c r="AE43" s="87">
        <f t="shared" si="42"/>
        <v>0</v>
      </c>
      <c r="AF43" s="87">
        <f t="shared" si="42"/>
        <v>0</v>
      </c>
      <c r="AG43" s="87">
        <f>AF43*(1+$C$3)</f>
        <v>0</v>
      </c>
      <c r="AH43" s="87">
        <f t="shared" si="42"/>
        <v>0</v>
      </c>
      <c r="AI43" s="87">
        <f t="shared" si="42"/>
        <v>0</v>
      </c>
      <c r="AJ43" s="87">
        <f t="shared" si="42"/>
        <v>0</v>
      </c>
      <c r="AK43" s="87">
        <f t="shared" si="42"/>
        <v>0</v>
      </c>
      <c r="AL43" s="87">
        <f t="shared" si="42"/>
        <v>0</v>
      </c>
      <c r="AM43" s="87">
        <f t="shared" si="42"/>
        <v>0</v>
      </c>
      <c r="AN43" s="87">
        <f t="shared" si="42"/>
        <v>0</v>
      </c>
      <c r="AO43" s="87">
        <f t="shared" si="42"/>
        <v>0</v>
      </c>
      <c r="AP43" s="87">
        <f t="shared" si="42"/>
        <v>0</v>
      </c>
      <c r="AQ43" s="87">
        <f t="shared" si="42"/>
        <v>0</v>
      </c>
      <c r="AR43" s="87">
        <f t="shared" si="42"/>
        <v>0</v>
      </c>
      <c r="AS43" s="71"/>
      <c r="AT43" s="71"/>
      <c r="AU43" s="71"/>
      <c r="AV43" s="71"/>
      <c r="AW43" s="71"/>
      <c r="AX43" s="71"/>
      <c r="AY43" s="71"/>
      <c r="AZ43" s="71"/>
      <c r="BA43" s="71"/>
    </row>
    <row r="44" spans="1:53" s="56" customFormat="1" ht="21" customHeight="1" outlineLevel="2">
      <c r="A44" s="95" t="s">
        <v>43</v>
      </c>
      <c r="B44" s="118">
        <v>0</v>
      </c>
      <c r="C44" s="165"/>
      <c r="D44" s="336">
        <f t="shared" si="27"/>
        <v>0</v>
      </c>
      <c r="E44" s="336">
        <f t="shared" si="28"/>
        <v>0</v>
      </c>
      <c r="F44" s="336">
        <f t="shared" si="29"/>
        <v>0</v>
      </c>
      <c r="G44" s="93">
        <f t="shared" si="40"/>
        <v>0</v>
      </c>
      <c r="H44" s="93">
        <f t="shared" si="40"/>
        <v>0</v>
      </c>
      <c r="I44" s="87">
        <f>C44</f>
        <v>0</v>
      </c>
      <c r="J44" s="87">
        <f t="shared" si="42"/>
        <v>0</v>
      </c>
      <c r="K44" s="87">
        <f t="shared" si="42"/>
        <v>0</v>
      </c>
      <c r="L44" s="87">
        <f t="shared" si="42"/>
        <v>0</v>
      </c>
      <c r="M44" s="87">
        <f t="shared" si="42"/>
        <v>0</v>
      </c>
      <c r="N44" s="87">
        <f t="shared" si="42"/>
        <v>0</v>
      </c>
      <c r="O44" s="87">
        <f t="shared" si="42"/>
        <v>0</v>
      </c>
      <c r="P44" s="87">
        <f t="shared" si="42"/>
        <v>0</v>
      </c>
      <c r="Q44" s="87">
        <f t="shared" si="42"/>
        <v>0</v>
      </c>
      <c r="R44" s="87">
        <f t="shared" si="42"/>
        <v>0</v>
      </c>
      <c r="S44" s="87">
        <f t="shared" si="42"/>
        <v>0</v>
      </c>
      <c r="T44" s="87">
        <f t="shared" si="42"/>
        <v>0</v>
      </c>
      <c r="U44" s="87">
        <f t="shared" ref="U44:U50" si="43">T44*(1+$B$3)</f>
        <v>0</v>
      </c>
      <c r="V44" s="87">
        <f t="shared" si="42"/>
        <v>0</v>
      </c>
      <c r="W44" s="87">
        <f t="shared" si="42"/>
        <v>0</v>
      </c>
      <c r="X44" s="87">
        <f t="shared" si="42"/>
        <v>0</v>
      </c>
      <c r="Y44" s="87">
        <f t="shared" si="42"/>
        <v>0</v>
      </c>
      <c r="Z44" s="87">
        <f t="shared" si="42"/>
        <v>0</v>
      </c>
      <c r="AA44" s="87">
        <f t="shared" si="42"/>
        <v>0</v>
      </c>
      <c r="AB44" s="87">
        <f t="shared" si="42"/>
        <v>0</v>
      </c>
      <c r="AC44" s="87">
        <f t="shared" si="42"/>
        <v>0</v>
      </c>
      <c r="AD44" s="87">
        <f t="shared" si="42"/>
        <v>0</v>
      </c>
      <c r="AE44" s="87">
        <f t="shared" si="42"/>
        <v>0</v>
      </c>
      <c r="AF44" s="87">
        <f t="shared" si="42"/>
        <v>0</v>
      </c>
      <c r="AG44" s="87">
        <f t="shared" ref="AG44:AG50" si="44">AF44*(1+$C$3)</f>
        <v>0</v>
      </c>
      <c r="AH44" s="87">
        <f t="shared" si="42"/>
        <v>0</v>
      </c>
      <c r="AI44" s="87">
        <f t="shared" si="42"/>
        <v>0</v>
      </c>
      <c r="AJ44" s="87">
        <f t="shared" si="42"/>
        <v>0</v>
      </c>
      <c r="AK44" s="87">
        <f t="shared" si="42"/>
        <v>0</v>
      </c>
      <c r="AL44" s="87">
        <f t="shared" si="42"/>
        <v>0</v>
      </c>
      <c r="AM44" s="87">
        <f t="shared" si="42"/>
        <v>0</v>
      </c>
      <c r="AN44" s="87">
        <f t="shared" si="42"/>
        <v>0</v>
      </c>
      <c r="AO44" s="87">
        <f t="shared" si="42"/>
        <v>0</v>
      </c>
      <c r="AP44" s="87">
        <f t="shared" si="42"/>
        <v>0</v>
      </c>
      <c r="AQ44" s="87">
        <f t="shared" si="42"/>
        <v>0</v>
      </c>
      <c r="AR44" s="87">
        <f t="shared" si="42"/>
        <v>0</v>
      </c>
      <c r="AS44" s="71"/>
      <c r="AT44" s="71"/>
      <c r="AU44" s="71"/>
      <c r="AV44" s="71"/>
      <c r="AW44" s="71"/>
      <c r="AX44" s="71"/>
      <c r="AY44" s="71"/>
      <c r="AZ44" s="71"/>
      <c r="BA44" s="71"/>
    </row>
    <row r="45" spans="1:53" s="56" customFormat="1" ht="21" customHeight="1" outlineLevel="2">
      <c r="A45" s="95" t="s">
        <v>44</v>
      </c>
      <c r="B45" s="118"/>
      <c r="C45" s="165"/>
      <c r="D45" s="336">
        <f t="shared" si="27"/>
        <v>0</v>
      </c>
      <c r="E45" s="336">
        <f t="shared" si="28"/>
        <v>0</v>
      </c>
      <c r="F45" s="336">
        <f t="shared" si="29"/>
        <v>0</v>
      </c>
      <c r="G45" s="93">
        <f t="shared" si="40"/>
        <v>0</v>
      </c>
      <c r="H45" s="93">
        <f t="shared" si="40"/>
        <v>0</v>
      </c>
      <c r="I45" s="87">
        <f>C45</f>
        <v>0</v>
      </c>
      <c r="J45" s="87">
        <f t="shared" si="42"/>
        <v>0</v>
      </c>
      <c r="K45" s="87">
        <f t="shared" si="42"/>
        <v>0</v>
      </c>
      <c r="L45" s="87">
        <f t="shared" si="42"/>
        <v>0</v>
      </c>
      <c r="M45" s="87">
        <f t="shared" si="42"/>
        <v>0</v>
      </c>
      <c r="N45" s="87">
        <f t="shared" si="42"/>
        <v>0</v>
      </c>
      <c r="O45" s="87">
        <f t="shared" si="42"/>
        <v>0</v>
      </c>
      <c r="P45" s="87">
        <f t="shared" si="42"/>
        <v>0</v>
      </c>
      <c r="Q45" s="87">
        <f t="shared" si="42"/>
        <v>0</v>
      </c>
      <c r="R45" s="87">
        <f t="shared" si="42"/>
        <v>0</v>
      </c>
      <c r="S45" s="87">
        <f t="shared" si="42"/>
        <v>0</v>
      </c>
      <c r="T45" s="87">
        <f t="shared" si="42"/>
        <v>0</v>
      </c>
      <c r="U45" s="87">
        <f t="shared" si="43"/>
        <v>0</v>
      </c>
      <c r="V45" s="87">
        <f t="shared" si="42"/>
        <v>0</v>
      </c>
      <c r="W45" s="87">
        <f t="shared" si="42"/>
        <v>0</v>
      </c>
      <c r="X45" s="87">
        <f t="shared" si="42"/>
        <v>0</v>
      </c>
      <c r="Y45" s="87">
        <f t="shared" si="42"/>
        <v>0</v>
      </c>
      <c r="Z45" s="87">
        <f t="shared" si="42"/>
        <v>0</v>
      </c>
      <c r="AA45" s="87">
        <f t="shared" si="42"/>
        <v>0</v>
      </c>
      <c r="AB45" s="87">
        <f t="shared" si="42"/>
        <v>0</v>
      </c>
      <c r="AC45" s="87">
        <f t="shared" si="42"/>
        <v>0</v>
      </c>
      <c r="AD45" s="87">
        <f t="shared" si="42"/>
        <v>0</v>
      </c>
      <c r="AE45" s="87">
        <f t="shared" si="42"/>
        <v>0</v>
      </c>
      <c r="AF45" s="87">
        <f t="shared" si="42"/>
        <v>0</v>
      </c>
      <c r="AG45" s="87">
        <f t="shared" si="44"/>
        <v>0</v>
      </c>
      <c r="AH45" s="87">
        <f t="shared" si="42"/>
        <v>0</v>
      </c>
      <c r="AI45" s="87">
        <f t="shared" si="42"/>
        <v>0</v>
      </c>
      <c r="AJ45" s="87">
        <f t="shared" si="42"/>
        <v>0</v>
      </c>
      <c r="AK45" s="87">
        <f t="shared" si="42"/>
        <v>0</v>
      </c>
      <c r="AL45" s="87">
        <f t="shared" si="42"/>
        <v>0</v>
      </c>
      <c r="AM45" s="87">
        <f t="shared" si="42"/>
        <v>0</v>
      </c>
      <c r="AN45" s="87">
        <f t="shared" si="42"/>
        <v>0</v>
      </c>
      <c r="AO45" s="87">
        <f t="shared" si="42"/>
        <v>0</v>
      </c>
      <c r="AP45" s="87">
        <f t="shared" si="42"/>
        <v>0</v>
      </c>
      <c r="AQ45" s="87">
        <f t="shared" si="42"/>
        <v>0</v>
      </c>
      <c r="AR45" s="87">
        <f t="shared" si="42"/>
        <v>0</v>
      </c>
      <c r="AS45" s="71"/>
      <c r="AT45" s="71"/>
      <c r="AU45" s="71"/>
      <c r="AV45" s="71"/>
      <c r="AW45" s="71"/>
      <c r="AX45" s="71"/>
      <c r="AY45" s="71"/>
      <c r="AZ45" s="71"/>
      <c r="BA45" s="71"/>
    </row>
    <row r="46" spans="1:53" s="56" customFormat="1" ht="21" customHeight="1" outlineLevel="2">
      <c r="A46" s="95" t="s">
        <v>40</v>
      </c>
      <c r="B46" s="118">
        <v>500</v>
      </c>
      <c r="C46" s="165"/>
      <c r="D46" s="336">
        <f t="shared" si="27"/>
        <v>0</v>
      </c>
      <c r="E46" s="336">
        <f t="shared" si="28"/>
        <v>0</v>
      </c>
      <c r="F46" s="336">
        <f t="shared" si="29"/>
        <v>0</v>
      </c>
      <c r="G46" s="93">
        <f t="shared" si="40"/>
        <v>0</v>
      </c>
      <c r="H46" s="93">
        <f t="shared" si="40"/>
        <v>0</v>
      </c>
      <c r="I46" s="87">
        <f>C46</f>
        <v>0</v>
      </c>
      <c r="J46" s="87">
        <f t="shared" si="42"/>
        <v>0</v>
      </c>
      <c r="K46" s="87">
        <f t="shared" si="42"/>
        <v>0</v>
      </c>
      <c r="L46" s="87">
        <f t="shared" si="42"/>
        <v>0</v>
      </c>
      <c r="M46" s="87">
        <f t="shared" si="42"/>
        <v>0</v>
      </c>
      <c r="N46" s="87">
        <f t="shared" si="42"/>
        <v>0</v>
      </c>
      <c r="O46" s="87">
        <f t="shared" si="42"/>
        <v>0</v>
      </c>
      <c r="P46" s="87">
        <f t="shared" si="42"/>
        <v>0</v>
      </c>
      <c r="Q46" s="87">
        <f t="shared" si="42"/>
        <v>0</v>
      </c>
      <c r="R46" s="87">
        <f t="shared" si="42"/>
        <v>0</v>
      </c>
      <c r="S46" s="87">
        <f t="shared" si="42"/>
        <v>0</v>
      </c>
      <c r="T46" s="87">
        <f t="shared" si="42"/>
        <v>0</v>
      </c>
      <c r="U46" s="87">
        <f t="shared" si="43"/>
        <v>0</v>
      </c>
      <c r="V46" s="87">
        <f t="shared" si="42"/>
        <v>0</v>
      </c>
      <c r="W46" s="87">
        <f t="shared" si="42"/>
        <v>0</v>
      </c>
      <c r="X46" s="87">
        <f t="shared" si="42"/>
        <v>0</v>
      </c>
      <c r="Y46" s="87">
        <f t="shared" si="42"/>
        <v>0</v>
      </c>
      <c r="Z46" s="87">
        <f t="shared" si="42"/>
        <v>0</v>
      </c>
      <c r="AA46" s="87">
        <f t="shared" si="42"/>
        <v>0</v>
      </c>
      <c r="AB46" s="87">
        <f t="shared" si="42"/>
        <v>0</v>
      </c>
      <c r="AC46" s="87">
        <f t="shared" si="42"/>
        <v>0</v>
      </c>
      <c r="AD46" s="87">
        <f t="shared" si="42"/>
        <v>0</v>
      </c>
      <c r="AE46" s="87">
        <f t="shared" si="42"/>
        <v>0</v>
      </c>
      <c r="AF46" s="87">
        <f t="shared" si="42"/>
        <v>0</v>
      </c>
      <c r="AG46" s="87">
        <f t="shared" si="44"/>
        <v>0</v>
      </c>
      <c r="AH46" s="87">
        <f t="shared" si="42"/>
        <v>0</v>
      </c>
      <c r="AI46" s="87">
        <f t="shared" si="42"/>
        <v>0</v>
      </c>
      <c r="AJ46" s="87">
        <f t="shared" si="42"/>
        <v>0</v>
      </c>
      <c r="AK46" s="87">
        <f t="shared" si="42"/>
        <v>0</v>
      </c>
      <c r="AL46" s="87">
        <f t="shared" si="42"/>
        <v>0</v>
      </c>
      <c r="AM46" s="87">
        <f t="shared" si="42"/>
        <v>0</v>
      </c>
      <c r="AN46" s="87">
        <f t="shared" si="42"/>
        <v>0</v>
      </c>
      <c r="AO46" s="87">
        <f t="shared" si="42"/>
        <v>0</v>
      </c>
      <c r="AP46" s="87">
        <f t="shared" si="42"/>
        <v>0</v>
      </c>
      <c r="AQ46" s="87">
        <f t="shared" si="42"/>
        <v>0</v>
      </c>
      <c r="AR46" s="87">
        <f t="shared" si="42"/>
        <v>0</v>
      </c>
      <c r="AS46" s="71"/>
      <c r="AT46" s="71"/>
      <c r="AU46" s="71"/>
      <c r="AV46" s="71"/>
      <c r="AW46" s="71"/>
      <c r="AX46" s="71"/>
      <c r="AY46" s="71"/>
      <c r="AZ46" s="71"/>
      <c r="BA46" s="71"/>
    </row>
    <row r="47" spans="1:53" s="56" customFormat="1" ht="21" customHeight="1" outlineLevel="2">
      <c r="A47" s="95" t="s">
        <v>39</v>
      </c>
      <c r="B47" s="120">
        <v>3.0000000000000001E-3</v>
      </c>
      <c r="C47" s="166"/>
      <c r="D47" s="336">
        <f t="shared" si="27"/>
        <v>0</v>
      </c>
      <c r="E47" s="336">
        <f t="shared" si="28"/>
        <v>0</v>
      </c>
      <c r="F47" s="336">
        <f t="shared" si="29"/>
        <v>0</v>
      </c>
      <c r="G47" s="93">
        <f t="shared" si="40"/>
        <v>0</v>
      </c>
      <c r="H47" s="93">
        <f t="shared" si="40"/>
        <v>0</v>
      </c>
      <c r="I47" s="87">
        <f t="shared" ref="I47:AR47" si="45">$C$47*I8</f>
        <v>0</v>
      </c>
      <c r="J47" s="87">
        <f t="shared" si="45"/>
        <v>0</v>
      </c>
      <c r="K47" s="87">
        <f t="shared" si="45"/>
        <v>0</v>
      </c>
      <c r="L47" s="87">
        <f t="shared" si="45"/>
        <v>0</v>
      </c>
      <c r="M47" s="87">
        <f t="shared" si="45"/>
        <v>0</v>
      </c>
      <c r="N47" s="87">
        <f t="shared" si="45"/>
        <v>0</v>
      </c>
      <c r="O47" s="87">
        <f t="shared" si="45"/>
        <v>0</v>
      </c>
      <c r="P47" s="87">
        <f t="shared" si="45"/>
        <v>0</v>
      </c>
      <c r="Q47" s="87">
        <f t="shared" si="45"/>
        <v>0</v>
      </c>
      <c r="R47" s="87">
        <f t="shared" si="45"/>
        <v>0</v>
      </c>
      <c r="S47" s="87">
        <f t="shared" si="45"/>
        <v>0</v>
      </c>
      <c r="T47" s="87">
        <f t="shared" si="45"/>
        <v>0</v>
      </c>
      <c r="U47" s="87">
        <f t="shared" si="43"/>
        <v>0</v>
      </c>
      <c r="V47" s="87">
        <f t="shared" si="45"/>
        <v>0</v>
      </c>
      <c r="W47" s="87">
        <f t="shared" si="45"/>
        <v>0</v>
      </c>
      <c r="X47" s="87">
        <f t="shared" si="45"/>
        <v>0</v>
      </c>
      <c r="Y47" s="87">
        <f t="shared" si="45"/>
        <v>0</v>
      </c>
      <c r="Z47" s="87">
        <f t="shared" si="45"/>
        <v>0</v>
      </c>
      <c r="AA47" s="87">
        <f t="shared" si="45"/>
        <v>0</v>
      </c>
      <c r="AB47" s="87">
        <f t="shared" si="45"/>
        <v>0</v>
      </c>
      <c r="AC47" s="87">
        <f t="shared" si="45"/>
        <v>0</v>
      </c>
      <c r="AD47" s="87">
        <f t="shared" si="45"/>
        <v>0</v>
      </c>
      <c r="AE47" s="87">
        <f t="shared" si="45"/>
        <v>0</v>
      </c>
      <c r="AF47" s="87">
        <f t="shared" si="45"/>
        <v>0</v>
      </c>
      <c r="AG47" s="87">
        <f t="shared" si="44"/>
        <v>0</v>
      </c>
      <c r="AH47" s="87">
        <f t="shared" si="45"/>
        <v>0</v>
      </c>
      <c r="AI47" s="87">
        <f t="shared" si="45"/>
        <v>0</v>
      </c>
      <c r="AJ47" s="87">
        <f t="shared" si="45"/>
        <v>0</v>
      </c>
      <c r="AK47" s="87">
        <f t="shared" si="45"/>
        <v>0</v>
      </c>
      <c r="AL47" s="87">
        <f t="shared" si="45"/>
        <v>0</v>
      </c>
      <c r="AM47" s="87">
        <f t="shared" si="45"/>
        <v>0</v>
      </c>
      <c r="AN47" s="87">
        <f t="shared" si="45"/>
        <v>0</v>
      </c>
      <c r="AO47" s="87">
        <f t="shared" si="45"/>
        <v>0</v>
      </c>
      <c r="AP47" s="87">
        <f t="shared" si="45"/>
        <v>0</v>
      </c>
      <c r="AQ47" s="87">
        <f t="shared" si="45"/>
        <v>0</v>
      </c>
      <c r="AR47" s="87">
        <f t="shared" si="45"/>
        <v>0</v>
      </c>
      <c r="AS47" s="71"/>
      <c r="AT47" s="71"/>
      <c r="AU47" s="71"/>
      <c r="AV47" s="71"/>
      <c r="AW47" s="71"/>
      <c r="AX47" s="71"/>
      <c r="AY47" s="71"/>
      <c r="AZ47" s="71"/>
      <c r="BA47" s="71"/>
    </row>
    <row r="48" spans="1:53" s="56" customFormat="1" ht="21" customHeight="1" outlineLevel="1">
      <c r="A48" s="97" t="s">
        <v>11</v>
      </c>
      <c r="B48" s="119"/>
      <c r="C48" s="105"/>
      <c r="D48" s="336">
        <f t="shared" si="27"/>
        <v>0</v>
      </c>
      <c r="E48" s="336">
        <f t="shared" si="28"/>
        <v>0</v>
      </c>
      <c r="F48" s="336">
        <f t="shared" si="29"/>
        <v>0</v>
      </c>
      <c r="G48" s="93">
        <f t="shared" si="40"/>
        <v>0</v>
      </c>
      <c r="H48" s="93">
        <f t="shared" si="40"/>
        <v>0</v>
      </c>
      <c r="I48" s="87">
        <f>C48</f>
        <v>0</v>
      </c>
      <c r="J48" s="87">
        <f t="shared" ref="J48:AR50" si="46">I48</f>
        <v>0</v>
      </c>
      <c r="K48" s="87">
        <f t="shared" si="46"/>
        <v>0</v>
      </c>
      <c r="L48" s="87">
        <f t="shared" si="46"/>
        <v>0</v>
      </c>
      <c r="M48" s="87">
        <f t="shared" si="46"/>
        <v>0</v>
      </c>
      <c r="N48" s="87">
        <f t="shared" si="46"/>
        <v>0</v>
      </c>
      <c r="O48" s="87">
        <f t="shared" si="46"/>
        <v>0</v>
      </c>
      <c r="P48" s="87">
        <f t="shared" si="46"/>
        <v>0</v>
      </c>
      <c r="Q48" s="87">
        <f t="shared" si="46"/>
        <v>0</v>
      </c>
      <c r="R48" s="87">
        <f t="shared" si="46"/>
        <v>0</v>
      </c>
      <c r="S48" s="87">
        <f t="shared" si="46"/>
        <v>0</v>
      </c>
      <c r="T48" s="87">
        <f t="shared" si="46"/>
        <v>0</v>
      </c>
      <c r="U48" s="87">
        <f t="shared" si="43"/>
        <v>0</v>
      </c>
      <c r="V48" s="87">
        <f t="shared" si="46"/>
        <v>0</v>
      </c>
      <c r="W48" s="87">
        <f t="shared" si="46"/>
        <v>0</v>
      </c>
      <c r="X48" s="87">
        <f t="shared" si="46"/>
        <v>0</v>
      </c>
      <c r="Y48" s="87">
        <f t="shared" si="46"/>
        <v>0</v>
      </c>
      <c r="Z48" s="87">
        <f t="shared" si="46"/>
        <v>0</v>
      </c>
      <c r="AA48" s="87">
        <f t="shared" si="46"/>
        <v>0</v>
      </c>
      <c r="AB48" s="87">
        <f t="shared" si="46"/>
        <v>0</v>
      </c>
      <c r="AC48" s="87">
        <f t="shared" si="46"/>
        <v>0</v>
      </c>
      <c r="AD48" s="87">
        <f t="shared" si="46"/>
        <v>0</v>
      </c>
      <c r="AE48" s="87">
        <f t="shared" si="46"/>
        <v>0</v>
      </c>
      <c r="AF48" s="87">
        <f t="shared" si="46"/>
        <v>0</v>
      </c>
      <c r="AG48" s="87">
        <f t="shared" si="44"/>
        <v>0</v>
      </c>
      <c r="AH48" s="87">
        <f t="shared" si="46"/>
        <v>0</v>
      </c>
      <c r="AI48" s="87">
        <f t="shared" si="46"/>
        <v>0</v>
      </c>
      <c r="AJ48" s="87">
        <f t="shared" si="46"/>
        <v>0</v>
      </c>
      <c r="AK48" s="87">
        <f t="shared" si="46"/>
        <v>0</v>
      </c>
      <c r="AL48" s="87">
        <f t="shared" si="46"/>
        <v>0</v>
      </c>
      <c r="AM48" s="87">
        <f t="shared" si="46"/>
        <v>0</v>
      </c>
      <c r="AN48" s="87">
        <f t="shared" si="46"/>
        <v>0</v>
      </c>
      <c r="AO48" s="87">
        <f t="shared" si="46"/>
        <v>0</v>
      </c>
      <c r="AP48" s="87">
        <f t="shared" si="46"/>
        <v>0</v>
      </c>
      <c r="AQ48" s="87">
        <f t="shared" si="46"/>
        <v>0</v>
      </c>
      <c r="AR48" s="87">
        <f t="shared" si="46"/>
        <v>0</v>
      </c>
      <c r="AS48" s="71"/>
      <c r="AT48" s="71"/>
      <c r="AU48" s="71"/>
      <c r="AV48" s="71"/>
      <c r="AW48" s="71"/>
      <c r="AX48" s="71"/>
      <c r="AY48" s="71"/>
      <c r="AZ48" s="71"/>
      <c r="BA48" s="71"/>
    </row>
    <row r="49" spans="1:53" s="56" customFormat="1" ht="21" customHeight="1" outlineLevel="1">
      <c r="A49" s="97" t="s">
        <v>226</v>
      </c>
      <c r="B49" s="338">
        <v>0.2</v>
      </c>
      <c r="C49" s="105"/>
      <c r="D49" s="336">
        <f t="shared" si="27"/>
        <v>0</v>
      </c>
      <c r="E49" s="336">
        <f t="shared" si="28"/>
        <v>0</v>
      </c>
      <c r="F49" s="336">
        <f t="shared" si="29"/>
        <v>0</v>
      </c>
      <c r="G49" s="337">
        <f t="shared" si="40"/>
        <v>0</v>
      </c>
      <c r="H49" s="337">
        <f t="shared" si="40"/>
        <v>0</v>
      </c>
      <c r="I49" s="336">
        <f>SUM(Revenue_Optic_2!H18:H22)</f>
        <v>0</v>
      </c>
      <c r="J49" s="336">
        <f>SUM(Revenue_Optic_2!I18:I22)</f>
        <v>0</v>
      </c>
      <c r="K49" s="336">
        <f>SUM(Revenue_Optic_2!J18:J22)</f>
        <v>0</v>
      </c>
      <c r="L49" s="336">
        <f>SUM(Revenue_Optic_2!K18:K22)</f>
        <v>0</v>
      </c>
      <c r="M49" s="336">
        <f>SUM(Revenue_Optic_2!L18:L22)</f>
        <v>0</v>
      </c>
      <c r="N49" s="336">
        <f>SUM(Revenue_Optic_2!M18:M22)</f>
        <v>0</v>
      </c>
      <c r="O49" s="336">
        <f>SUM(Revenue_Optic_2!N18:N22)</f>
        <v>0</v>
      </c>
      <c r="P49" s="336">
        <f>SUM(Revenue_Optic_2!O18:O22)</f>
        <v>0</v>
      </c>
      <c r="Q49" s="336">
        <f>SUM(Revenue_Optic_2!P18:P22)</f>
        <v>0</v>
      </c>
      <c r="R49" s="336">
        <f>SUM(Revenue_Optic_2!Q18:Q22)</f>
        <v>0</v>
      </c>
      <c r="S49" s="336">
        <f>SUM(Revenue_Optic_2!R18:R22)</f>
        <v>0</v>
      </c>
      <c r="T49" s="336">
        <f>SUM(Revenue_Optic_2!S18:S22)</f>
        <v>0</v>
      </c>
      <c r="U49" s="336">
        <f>SUM(Revenue_Optic_2!T18:T22)</f>
        <v>0</v>
      </c>
      <c r="V49" s="336">
        <f>SUM(Revenue_Optic_2!U18:U22)</f>
        <v>0</v>
      </c>
      <c r="W49" s="336">
        <f>SUM(Revenue_Optic_2!V18:V22)</f>
        <v>0</v>
      </c>
      <c r="X49" s="336">
        <f>SUM(Revenue_Optic_2!W18:W22)</f>
        <v>0</v>
      </c>
      <c r="Y49" s="336">
        <f>SUM(Revenue_Optic_2!X18:X22)</f>
        <v>0</v>
      </c>
      <c r="Z49" s="336">
        <f>SUM(Revenue_Optic_2!Y18:Y22)</f>
        <v>0</v>
      </c>
      <c r="AA49" s="336">
        <f>SUM(Revenue_Optic_2!Z18:Z22)</f>
        <v>0</v>
      </c>
      <c r="AB49" s="336">
        <f>SUM(Revenue_Optic_2!AA18:AA22)</f>
        <v>0</v>
      </c>
      <c r="AC49" s="336">
        <f>SUM(Revenue_Optic_2!AB18:AB22)</f>
        <v>0</v>
      </c>
      <c r="AD49" s="336">
        <f>SUM(Revenue_Optic_2!AC18:AC22)</f>
        <v>0</v>
      </c>
      <c r="AE49" s="336">
        <f>SUM(Revenue_Optic_2!AD18:AD22)</f>
        <v>0</v>
      </c>
      <c r="AF49" s="336">
        <f>SUM(Revenue_Optic_2!AE18:AE22)</f>
        <v>0</v>
      </c>
      <c r="AG49" s="336">
        <f>SUM(Revenue_Optic_2!AF18:AF22)</f>
        <v>0</v>
      </c>
      <c r="AH49" s="336">
        <f>SUM(Revenue_Optic_2!AG18:AG22)</f>
        <v>0</v>
      </c>
      <c r="AI49" s="336">
        <f>SUM(Revenue_Optic_2!AH18:AH22)</f>
        <v>0</v>
      </c>
      <c r="AJ49" s="336">
        <f>SUM(Revenue_Optic_2!AI18:AI22)</f>
        <v>0</v>
      </c>
      <c r="AK49" s="336">
        <f>SUM(Revenue_Optic_2!AJ18:AJ22)</f>
        <v>0</v>
      </c>
      <c r="AL49" s="336">
        <f>SUM(Revenue_Optic_2!AK18:AK22)</f>
        <v>0</v>
      </c>
      <c r="AM49" s="336">
        <f>SUM(Revenue_Optic_2!AL18:AL22)</f>
        <v>0</v>
      </c>
      <c r="AN49" s="336">
        <f>SUM(Revenue_Optic_2!AM18:AM22)</f>
        <v>0</v>
      </c>
      <c r="AO49" s="336">
        <f>SUM(Revenue_Optic_2!AN18:AN22)</f>
        <v>0</v>
      </c>
      <c r="AP49" s="336">
        <f>SUM(Revenue_Optic_2!AO18:AO22)</f>
        <v>0</v>
      </c>
      <c r="AQ49" s="336">
        <f>SUM(Revenue_Optic_2!AP18:AP22)</f>
        <v>0</v>
      </c>
      <c r="AR49" s="336">
        <f>SUM(Revenue_Optic_2!AQ18:AQ22)</f>
        <v>0</v>
      </c>
      <c r="AS49" s="71"/>
      <c r="AT49" s="71"/>
      <c r="AU49" s="71"/>
      <c r="AV49" s="71"/>
      <c r="AW49" s="71"/>
      <c r="AX49" s="71"/>
      <c r="AY49" s="71"/>
      <c r="AZ49" s="71"/>
      <c r="BA49" s="71"/>
    </row>
    <row r="50" spans="1:53" s="56" customFormat="1" ht="21" customHeight="1" outlineLevel="1">
      <c r="A50" s="97" t="s">
        <v>13</v>
      </c>
      <c r="B50" s="121">
        <v>0.01</v>
      </c>
      <c r="C50" s="102"/>
      <c r="D50" s="87">
        <f>SUMIF($I$7:$AR$7,$D$6,$I50:$AR50)</f>
        <v>0</v>
      </c>
      <c r="E50" s="87">
        <f t="shared" ref="E50" si="47">SUMIF($I$7:$AR$7,$E$6,$I50:$AR50)</f>
        <v>0</v>
      </c>
      <c r="F50" s="87">
        <f t="shared" ref="F50" si="48">SUMIF($I$7:$AR$7,$F$6,$I50:$AR50)</f>
        <v>0</v>
      </c>
      <c r="G50" s="93">
        <f t="shared" si="40"/>
        <v>0</v>
      </c>
      <c r="H50" s="93">
        <f t="shared" si="40"/>
        <v>0</v>
      </c>
      <c r="I50" s="87">
        <f>C50*I8</f>
        <v>0</v>
      </c>
      <c r="J50" s="87">
        <f t="shared" si="46"/>
        <v>0</v>
      </c>
      <c r="K50" s="87">
        <f t="shared" si="46"/>
        <v>0</v>
      </c>
      <c r="L50" s="87">
        <f t="shared" si="46"/>
        <v>0</v>
      </c>
      <c r="M50" s="87">
        <f t="shared" si="46"/>
        <v>0</v>
      </c>
      <c r="N50" s="87">
        <f t="shared" si="46"/>
        <v>0</v>
      </c>
      <c r="O50" s="87">
        <f t="shared" si="46"/>
        <v>0</v>
      </c>
      <c r="P50" s="87">
        <f t="shared" si="46"/>
        <v>0</v>
      </c>
      <c r="Q50" s="87">
        <f t="shared" si="46"/>
        <v>0</v>
      </c>
      <c r="R50" s="87">
        <f t="shared" si="46"/>
        <v>0</v>
      </c>
      <c r="S50" s="87">
        <f t="shared" si="46"/>
        <v>0</v>
      </c>
      <c r="T50" s="87">
        <f t="shared" si="46"/>
        <v>0</v>
      </c>
      <c r="U50" s="87">
        <f t="shared" si="43"/>
        <v>0</v>
      </c>
      <c r="V50" s="87">
        <f t="shared" si="46"/>
        <v>0</v>
      </c>
      <c r="W50" s="87">
        <f t="shared" si="46"/>
        <v>0</v>
      </c>
      <c r="X50" s="87">
        <f t="shared" si="46"/>
        <v>0</v>
      </c>
      <c r="Y50" s="87">
        <f t="shared" si="46"/>
        <v>0</v>
      </c>
      <c r="Z50" s="87">
        <f t="shared" si="46"/>
        <v>0</v>
      </c>
      <c r="AA50" s="87">
        <f t="shared" si="46"/>
        <v>0</v>
      </c>
      <c r="AB50" s="87">
        <f t="shared" si="46"/>
        <v>0</v>
      </c>
      <c r="AC50" s="87">
        <f t="shared" si="46"/>
        <v>0</v>
      </c>
      <c r="AD50" s="87">
        <f t="shared" si="46"/>
        <v>0</v>
      </c>
      <c r="AE50" s="87">
        <f t="shared" si="46"/>
        <v>0</v>
      </c>
      <c r="AF50" s="87">
        <f t="shared" si="46"/>
        <v>0</v>
      </c>
      <c r="AG50" s="87">
        <f t="shared" si="44"/>
        <v>0</v>
      </c>
      <c r="AH50" s="87">
        <f t="shared" si="46"/>
        <v>0</v>
      </c>
      <c r="AI50" s="87">
        <f t="shared" si="46"/>
        <v>0</v>
      </c>
      <c r="AJ50" s="87">
        <f t="shared" si="46"/>
        <v>0</v>
      </c>
      <c r="AK50" s="87">
        <f t="shared" si="46"/>
        <v>0</v>
      </c>
      <c r="AL50" s="87">
        <f t="shared" si="46"/>
        <v>0</v>
      </c>
      <c r="AM50" s="87">
        <f t="shared" si="46"/>
        <v>0</v>
      </c>
      <c r="AN50" s="87">
        <f t="shared" si="46"/>
        <v>0</v>
      </c>
      <c r="AO50" s="87">
        <f t="shared" si="46"/>
        <v>0</v>
      </c>
      <c r="AP50" s="87">
        <f t="shared" si="46"/>
        <v>0</v>
      </c>
      <c r="AQ50" s="87">
        <f t="shared" si="46"/>
        <v>0</v>
      </c>
      <c r="AR50" s="87">
        <f t="shared" si="46"/>
        <v>0</v>
      </c>
      <c r="AS50" s="71"/>
      <c r="AT50" s="71"/>
      <c r="AU50" s="71"/>
      <c r="AV50" s="71"/>
      <c r="AW50" s="71"/>
      <c r="AX50" s="71"/>
      <c r="AY50" s="71"/>
      <c r="AZ50" s="71"/>
      <c r="BA50" s="71"/>
    </row>
    <row r="51" spans="1:53" s="79" customFormat="1" ht="21" customHeight="1">
      <c r="A51" s="107" t="s">
        <v>138</v>
      </c>
      <c r="B51" s="112"/>
      <c r="C51" s="108"/>
      <c r="D51" s="109">
        <f ca="1">SUMIF($I$7:$AR$7,$D$6,$I51:$AR51)</f>
        <v>0</v>
      </c>
      <c r="E51" s="109">
        <f ca="1">SUMIF($I$7:$AR$7,$E$6,$I51:$AR51)</f>
        <v>0</v>
      </c>
      <c r="F51" s="109">
        <f ca="1">SUMIF($I$7:$AR$7,$F$6,$I51:$AR51)</f>
        <v>0</v>
      </c>
      <c r="G51" s="110">
        <f ca="1">IFERROR(E51/D51-1,0)</f>
        <v>0</v>
      </c>
      <c r="H51" s="110">
        <f ca="1">IFERROR(F51/E51-1,0)</f>
        <v>0</v>
      </c>
      <c r="I51" s="109">
        <f t="shared" ref="I51:AR51" ca="1" si="49">I15-I17-I22-I25</f>
        <v>0</v>
      </c>
      <c r="J51" s="109">
        <f t="shared" ca="1" si="49"/>
        <v>0</v>
      </c>
      <c r="K51" s="109">
        <f t="shared" ca="1" si="49"/>
        <v>0</v>
      </c>
      <c r="L51" s="109">
        <f t="shared" ca="1" si="49"/>
        <v>0</v>
      </c>
      <c r="M51" s="109">
        <f t="shared" ca="1" si="49"/>
        <v>0</v>
      </c>
      <c r="N51" s="109">
        <f t="shared" ca="1" si="49"/>
        <v>0</v>
      </c>
      <c r="O51" s="109">
        <f t="shared" ca="1" si="49"/>
        <v>0</v>
      </c>
      <c r="P51" s="109">
        <f t="shared" ca="1" si="49"/>
        <v>0</v>
      </c>
      <c r="Q51" s="109">
        <f t="shared" ca="1" si="49"/>
        <v>0</v>
      </c>
      <c r="R51" s="109">
        <f t="shared" ca="1" si="49"/>
        <v>0</v>
      </c>
      <c r="S51" s="109">
        <f t="shared" ca="1" si="49"/>
        <v>0</v>
      </c>
      <c r="T51" s="109">
        <f t="shared" ca="1" si="49"/>
        <v>0</v>
      </c>
      <c r="U51" s="109">
        <f t="shared" ca="1" si="49"/>
        <v>0</v>
      </c>
      <c r="V51" s="109">
        <f t="shared" ca="1" si="49"/>
        <v>0</v>
      </c>
      <c r="W51" s="109">
        <f t="shared" ca="1" si="49"/>
        <v>0</v>
      </c>
      <c r="X51" s="109">
        <f t="shared" ca="1" si="49"/>
        <v>0</v>
      </c>
      <c r="Y51" s="109">
        <f t="shared" ca="1" si="49"/>
        <v>0</v>
      </c>
      <c r="Z51" s="109">
        <f t="shared" ca="1" si="49"/>
        <v>0</v>
      </c>
      <c r="AA51" s="109">
        <f t="shared" ca="1" si="49"/>
        <v>0</v>
      </c>
      <c r="AB51" s="109">
        <f t="shared" ca="1" si="49"/>
        <v>0</v>
      </c>
      <c r="AC51" s="109">
        <f t="shared" ca="1" si="49"/>
        <v>0</v>
      </c>
      <c r="AD51" s="109">
        <f t="shared" ca="1" si="49"/>
        <v>0</v>
      </c>
      <c r="AE51" s="109">
        <f t="shared" ca="1" si="49"/>
        <v>0</v>
      </c>
      <c r="AF51" s="109">
        <f t="shared" ca="1" si="49"/>
        <v>0</v>
      </c>
      <c r="AG51" s="109">
        <f t="shared" ca="1" si="49"/>
        <v>0</v>
      </c>
      <c r="AH51" s="109">
        <f t="shared" ca="1" si="49"/>
        <v>0</v>
      </c>
      <c r="AI51" s="109">
        <f t="shared" ca="1" si="49"/>
        <v>0</v>
      </c>
      <c r="AJ51" s="109">
        <f t="shared" ca="1" si="49"/>
        <v>0</v>
      </c>
      <c r="AK51" s="109">
        <f t="shared" ca="1" si="49"/>
        <v>0</v>
      </c>
      <c r="AL51" s="109">
        <f t="shared" ca="1" si="49"/>
        <v>0</v>
      </c>
      <c r="AM51" s="109">
        <f t="shared" ca="1" si="49"/>
        <v>0</v>
      </c>
      <c r="AN51" s="109">
        <f t="shared" ca="1" si="49"/>
        <v>0</v>
      </c>
      <c r="AO51" s="109">
        <f t="shared" ca="1" si="49"/>
        <v>0</v>
      </c>
      <c r="AP51" s="109">
        <f t="shared" ca="1" si="49"/>
        <v>0</v>
      </c>
      <c r="AQ51" s="109">
        <f t="shared" ca="1" si="49"/>
        <v>0</v>
      </c>
      <c r="AR51" s="109">
        <f t="shared" ca="1" si="49"/>
        <v>0</v>
      </c>
      <c r="AS51" s="71"/>
      <c r="AT51" s="71"/>
      <c r="AU51" s="71"/>
      <c r="AV51" s="71"/>
      <c r="AW51" s="71"/>
      <c r="AX51" s="71"/>
      <c r="AY51" s="71"/>
      <c r="AZ51" s="71"/>
      <c r="BA51" s="71"/>
    </row>
    <row r="52" spans="1:53" s="71" customFormat="1" ht="21" customHeight="1" collapsed="1">
      <c r="A52" s="98" t="s">
        <v>227</v>
      </c>
      <c r="B52" s="116"/>
      <c r="C52" s="106"/>
      <c r="D52" s="90" t="str">
        <f t="shared" ref="D52:F52" ca="1" si="50">IFERROR(D51/D8,"")</f>
        <v/>
      </c>
      <c r="E52" s="90" t="str">
        <f t="shared" ca="1" si="50"/>
        <v/>
      </c>
      <c r="F52" s="90" t="str">
        <f t="shared" ca="1" si="50"/>
        <v/>
      </c>
      <c r="G52" s="91" t="e">
        <f ca="1">E52-D52</f>
        <v>#VALUE!</v>
      </c>
      <c r="H52" s="91" t="e">
        <f ca="1">F52-E52</f>
        <v>#VALUE!</v>
      </c>
      <c r="I52" s="90">
        <f t="shared" ref="I52:AR52" ca="1" si="51">IFERROR(I51/I8,0)</f>
        <v>0</v>
      </c>
      <c r="J52" s="90">
        <f t="shared" ca="1" si="51"/>
        <v>0</v>
      </c>
      <c r="K52" s="90">
        <f t="shared" ca="1" si="51"/>
        <v>0</v>
      </c>
      <c r="L52" s="90">
        <f t="shared" ca="1" si="51"/>
        <v>0</v>
      </c>
      <c r="M52" s="90">
        <f t="shared" ca="1" si="51"/>
        <v>0</v>
      </c>
      <c r="N52" s="90">
        <f t="shared" ca="1" si="51"/>
        <v>0</v>
      </c>
      <c r="O52" s="90">
        <f t="shared" ca="1" si="51"/>
        <v>0</v>
      </c>
      <c r="P52" s="90">
        <f t="shared" ca="1" si="51"/>
        <v>0</v>
      </c>
      <c r="Q52" s="90">
        <f t="shared" ca="1" si="51"/>
        <v>0</v>
      </c>
      <c r="R52" s="90">
        <f t="shared" ca="1" si="51"/>
        <v>0</v>
      </c>
      <c r="S52" s="90">
        <f t="shared" ca="1" si="51"/>
        <v>0</v>
      </c>
      <c r="T52" s="90">
        <f t="shared" ca="1" si="51"/>
        <v>0</v>
      </c>
      <c r="U52" s="90">
        <f t="shared" ca="1" si="51"/>
        <v>0</v>
      </c>
      <c r="V52" s="90">
        <f t="shared" ca="1" si="51"/>
        <v>0</v>
      </c>
      <c r="W52" s="90">
        <f t="shared" ca="1" si="51"/>
        <v>0</v>
      </c>
      <c r="X52" s="90">
        <f t="shared" ca="1" si="51"/>
        <v>0</v>
      </c>
      <c r="Y52" s="90">
        <f t="shared" ca="1" si="51"/>
        <v>0</v>
      </c>
      <c r="Z52" s="90">
        <f t="shared" ca="1" si="51"/>
        <v>0</v>
      </c>
      <c r="AA52" s="90">
        <f t="shared" ca="1" si="51"/>
        <v>0</v>
      </c>
      <c r="AB52" s="90">
        <f t="shared" ca="1" si="51"/>
        <v>0</v>
      </c>
      <c r="AC52" s="90">
        <f t="shared" ca="1" si="51"/>
        <v>0</v>
      </c>
      <c r="AD52" s="90">
        <f t="shared" ca="1" si="51"/>
        <v>0</v>
      </c>
      <c r="AE52" s="90">
        <f t="shared" ca="1" si="51"/>
        <v>0</v>
      </c>
      <c r="AF52" s="90">
        <f t="shared" ca="1" si="51"/>
        <v>0</v>
      </c>
      <c r="AG52" s="90">
        <f t="shared" ca="1" si="51"/>
        <v>0</v>
      </c>
      <c r="AH52" s="90">
        <f t="shared" ca="1" si="51"/>
        <v>0</v>
      </c>
      <c r="AI52" s="90">
        <f t="shared" ca="1" si="51"/>
        <v>0</v>
      </c>
      <c r="AJ52" s="90">
        <f t="shared" ca="1" si="51"/>
        <v>0</v>
      </c>
      <c r="AK52" s="90">
        <f t="shared" ca="1" si="51"/>
        <v>0</v>
      </c>
      <c r="AL52" s="90">
        <f t="shared" ca="1" si="51"/>
        <v>0</v>
      </c>
      <c r="AM52" s="90">
        <f t="shared" ca="1" si="51"/>
        <v>0</v>
      </c>
      <c r="AN52" s="90">
        <f t="shared" ca="1" si="51"/>
        <v>0</v>
      </c>
      <c r="AO52" s="90">
        <f t="shared" ca="1" si="51"/>
        <v>0</v>
      </c>
      <c r="AP52" s="90">
        <f t="shared" ca="1" si="51"/>
        <v>0</v>
      </c>
      <c r="AQ52" s="90">
        <f t="shared" ca="1" si="51"/>
        <v>0</v>
      </c>
      <c r="AR52" s="90">
        <f t="shared" ca="1" si="51"/>
        <v>0</v>
      </c>
    </row>
    <row r="53" spans="1:53" s="79" customFormat="1" ht="21" customHeight="1">
      <c r="A53" s="107" t="s">
        <v>41</v>
      </c>
      <c r="B53" s="112"/>
      <c r="C53" s="108"/>
      <c r="D53" s="109" t="e">
        <f ca="1">(D22+D25+D17)/(1-(D14+D10)/D8)</f>
        <v>#DIV/0!</v>
      </c>
      <c r="E53" s="109" t="e">
        <f ca="1">(E22+E25+E17)/(1-(E14+E10)/E8)</f>
        <v>#DIV/0!</v>
      </c>
      <c r="F53" s="109" t="e">
        <f t="shared" ref="F53" ca="1" si="52">(F22+F25+F17)/(1-(F14+F10)/F8)</f>
        <v>#DIV/0!</v>
      </c>
      <c r="G53" s="110"/>
      <c r="H53" s="110"/>
      <c r="I53" s="109" t="e">
        <f ca="1">(I22+I25+I17)/(1-(I14+I10)/I8)</f>
        <v>#DIV/0!</v>
      </c>
      <c r="J53" s="109" t="e">
        <f t="shared" ref="J53:AR53" ca="1" si="53">(J22+J25+J17)/(1-(J14+J10)/J8)</f>
        <v>#DIV/0!</v>
      </c>
      <c r="K53" s="109" t="e">
        <f t="shared" ca="1" si="53"/>
        <v>#DIV/0!</v>
      </c>
      <c r="L53" s="109" t="e">
        <f t="shared" ca="1" si="53"/>
        <v>#DIV/0!</v>
      </c>
      <c r="M53" s="109" t="e">
        <f t="shared" ca="1" si="53"/>
        <v>#DIV/0!</v>
      </c>
      <c r="N53" s="109" t="e">
        <f t="shared" ca="1" si="53"/>
        <v>#DIV/0!</v>
      </c>
      <c r="O53" s="109" t="e">
        <f t="shared" ca="1" si="53"/>
        <v>#DIV/0!</v>
      </c>
      <c r="P53" s="109" t="e">
        <f t="shared" ca="1" si="53"/>
        <v>#DIV/0!</v>
      </c>
      <c r="Q53" s="109" t="e">
        <f t="shared" ca="1" si="53"/>
        <v>#DIV/0!</v>
      </c>
      <c r="R53" s="109" t="e">
        <f t="shared" ca="1" si="53"/>
        <v>#DIV/0!</v>
      </c>
      <c r="S53" s="109" t="e">
        <f t="shared" ca="1" si="53"/>
        <v>#DIV/0!</v>
      </c>
      <c r="T53" s="109" t="e">
        <f t="shared" ca="1" si="53"/>
        <v>#DIV/0!</v>
      </c>
      <c r="U53" s="109" t="e">
        <f t="shared" ca="1" si="53"/>
        <v>#DIV/0!</v>
      </c>
      <c r="V53" s="109" t="e">
        <f t="shared" ca="1" si="53"/>
        <v>#DIV/0!</v>
      </c>
      <c r="W53" s="109" t="e">
        <f t="shared" ca="1" si="53"/>
        <v>#DIV/0!</v>
      </c>
      <c r="X53" s="109" t="e">
        <f t="shared" ca="1" si="53"/>
        <v>#DIV/0!</v>
      </c>
      <c r="Y53" s="109" t="e">
        <f t="shared" ca="1" si="53"/>
        <v>#DIV/0!</v>
      </c>
      <c r="Z53" s="109" t="e">
        <f t="shared" ca="1" si="53"/>
        <v>#DIV/0!</v>
      </c>
      <c r="AA53" s="109" t="e">
        <f t="shared" ca="1" si="53"/>
        <v>#DIV/0!</v>
      </c>
      <c r="AB53" s="109" t="e">
        <f t="shared" ca="1" si="53"/>
        <v>#DIV/0!</v>
      </c>
      <c r="AC53" s="109" t="e">
        <f t="shared" ca="1" si="53"/>
        <v>#DIV/0!</v>
      </c>
      <c r="AD53" s="109" t="e">
        <f t="shared" ca="1" si="53"/>
        <v>#DIV/0!</v>
      </c>
      <c r="AE53" s="109" t="e">
        <f t="shared" ca="1" si="53"/>
        <v>#DIV/0!</v>
      </c>
      <c r="AF53" s="109" t="e">
        <f t="shared" ca="1" si="53"/>
        <v>#DIV/0!</v>
      </c>
      <c r="AG53" s="109" t="e">
        <f t="shared" ca="1" si="53"/>
        <v>#DIV/0!</v>
      </c>
      <c r="AH53" s="109" t="e">
        <f t="shared" ca="1" si="53"/>
        <v>#DIV/0!</v>
      </c>
      <c r="AI53" s="109" t="e">
        <f t="shared" ca="1" si="53"/>
        <v>#DIV/0!</v>
      </c>
      <c r="AJ53" s="109" t="e">
        <f t="shared" ca="1" si="53"/>
        <v>#DIV/0!</v>
      </c>
      <c r="AK53" s="109" t="e">
        <f t="shared" ca="1" si="53"/>
        <v>#DIV/0!</v>
      </c>
      <c r="AL53" s="109" t="e">
        <f t="shared" ca="1" si="53"/>
        <v>#DIV/0!</v>
      </c>
      <c r="AM53" s="109" t="e">
        <f t="shared" ca="1" si="53"/>
        <v>#DIV/0!</v>
      </c>
      <c r="AN53" s="109" t="e">
        <f t="shared" ca="1" si="53"/>
        <v>#DIV/0!</v>
      </c>
      <c r="AO53" s="109" t="e">
        <f t="shared" ca="1" si="53"/>
        <v>#DIV/0!</v>
      </c>
      <c r="AP53" s="109" t="e">
        <f t="shared" ca="1" si="53"/>
        <v>#DIV/0!</v>
      </c>
      <c r="AQ53" s="109" t="e">
        <f t="shared" ca="1" si="53"/>
        <v>#DIV/0!</v>
      </c>
      <c r="AR53" s="109" t="e">
        <f t="shared" ca="1" si="53"/>
        <v>#DIV/0!</v>
      </c>
      <c r="AS53" s="71"/>
      <c r="AT53" s="71"/>
      <c r="AU53" s="71"/>
      <c r="AV53" s="71"/>
      <c r="AW53" s="71"/>
      <c r="AX53" s="71"/>
      <c r="AY53" s="71"/>
      <c r="AZ53" s="71"/>
      <c r="BA53" s="71"/>
    </row>
    <row r="54" spans="1:53" s="79" customFormat="1" ht="21" customHeight="1" thickBot="1">
      <c r="A54" s="107"/>
      <c r="B54" s="122"/>
      <c r="C54" s="108"/>
      <c r="D54" s="109"/>
      <c r="E54" s="109"/>
      <c r="F54" s="109"/>
      <c r="G54" s="110"/>
      <c r="H54" s="110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71"/>
      <c r="AT54" s="71"/>
      <c r="AU54" s="71"/>
      <c r="AV54" s="71"/>
      <c r="AW54" s="71"/>
      <c r="AX54" s="71"/>
      <c r="AY54" s="71"/>
      <c r="AZ54" s="71"/>
      <c r="BA54" s="71"/>
    </row>
    <row r="56" spans="1:53">
      <c r="D56" s="411">
        <f ca="1">D8-D10-D14-D17-D22-D25</f>
        <v>0</v>
      </c>
      <c r="E56" s="411">
        <f t="shared" ref="E56:F56" ca="1" si="54">E8-E10-E14-E17-E22-E25</f>
        <v>0</v>
      </c>
      <c r="F56" s="411">
        <f t="shared" ca="1" si="54"/>
        <v>0</v>
      </c>
      <c r="G56" s="411"/>
      <c r="H56" s="411"/>
      <c r="I56" s="411">
        <f t="shared" ref="I56:J56" ca="1" si="55">I8-I10-I14-I17-I22-I25</f>
        <v>0</v>
      </c>
      <c r="J56" s="411">
        <f t="shared" ca="1" si="55"/>
        <v>0</v>
      </c>
      <c r="K56" s="411">
        <f t="shared" ref="K56:AR56" ca="1" si="56">K8-K10-K14-K17-K22-K25</f>
        <v>0</v>
      </c>
      <c r="L56" s="411">
        <f t="shared" ca="1" si="56"/>
        <v>0</v>
      </c>
      <c r="M56" s="411">
        <f t="shared" ca="1" si="56"/>
        <v>0</v>
      </c>
      <c r="N56" s="411">
        <f t="shared" ca="1" si="56"/>
        <v>0</v>
      </c>
      <c r="O56" s="411">
        <f t="shared" ca="1" si="56"/>
        <v>0</v>
      </c>
      <c r="P56" s="411">
        <f t="shared" ca="1" si="56"/>
        <v>0</v>
      </c>
      <c r="Q56" s="411">
        <f t="shared" ca="1" si="56"/>
        <v>0</v>
      </c>
      <c r="R56" s="411">
        <f t="shared" ca="1" si="56"/>
        <v>0</v>
      </c>
      <c r="S56" s="411">
        <f t="shared" ca="1" si="56"/>
        <v>0</v>
      </c>
      <c r="T56" s="411">
        <f t="shared" ca="1" si="56"/>
        <v>0</v>
      </c>
      <c r="U56" s="411">
        <f t="shared" ca="1" si="56"/>
        <v>0</v>
      </c>
      <c r="V56" s="411">
        <f t="shared" ca="1" si="56"/>
        <v>0</v>
      </c>
      <c r="W56" s="411">
        <f t="shared" ca="1" si="56"/>
        <v>0</v>
      </c>
      <c r="X56" s="411">
        <f t="shared" ca="1" si="56"/>
        <v>0</v>
      </c>
      <c r="Y56" s="411">
        <f t="shared" ca="1" si="56"/>
        <v>0</v>
      </c>
      <c r="Z56" s="411">
        <f t="shared" ca="1" si="56"/>
        <v>0</v>
      </c>
      <c r="AA56" s="411">
        <f t="shared" ca="1" si="56"/>
        <v>0</v>
      </c>
      <c r="AB56" s="411">
        <f t="shared" ca="1" si="56"/>
        <v>0</v>
      </c>
      <c r="AC56" s="411">
        <f t="shared" ca="1" si="56"/>
        <v>0</v>
      </c>
      <c r="AD56" s="411">
        <f t="shared" ca="1" si="56"/>
        <v>0</v>
      </c>
      <c r="AE56" s="411">
        <f t="shared" ca="1" si="56"/>
        <v>0</v>
      </c>
      <c r="AF56" s="411">
        <f t="shared" ca="1" si="56"/>
        <v>0</v>
      </c>
      <c r="AG56" s="411">
        <f t="shared" ca="1" si="56"/>
        <v>0</v>
      </c>
      <c r="AH56" s="411">
        <f t="shared" ca="1" si="56"/>
        <v>0</v>
      </c>
      <c r="AI56" s="411">
        <f t="shared" ca="1" si="56"/>
        <v>0</v>
      </c>
      <c r="AJ56" s="411">
        <f t="shared" ca="1" si="56"/>
        <v>0</v>
      </c>
      <c r="AK56" s="411">
        <f t="shared" ca="1" si="56"/>
        <v>0</v>
      </c>
      <c r="AL56" s="411">
        <f t="shared" ca="1" si="56"/>
        <v>0</v>
      </c>
      <c r="AM56" s="411">
        <f t="shared" ca="1" si="56"/>
        <v>0</v>
      </c>
      <c r="AN56" s="411">
        <f t="shared" ca="1" si="56"/>
        <v>0</v>
      </c>
      <c r="AO56" s="411">
        <f t="shared" ca="1" si="56"/>
        <v>0</v>
      </c>
      <c r="AP56" s="411">
        <f t="shared" ca="1" si="56"/>
        <v>0</v>
      </c>
      <c r="AQ56" s="411">
        <f t="shared" ca="1" si="56"/>
        <v>0</v>
      </c>
      <c r="AR56" s="411">
        <f t="shared" ca="1" si="56"/>
        <v>0</v>
      </c>
    </row>
    <row r="57" spans="1:53">
      <c r="D57" s="411">
        <f t="shared" ref="D57:F57" ca="1" si="57">D51-D8</f>
        <v>0</v>
      </c>
      <c r="E57" s="411">
        <f t="shared" ca="1" si="57"/>
        <v>0</v>
      </c>
      <c r="F57" s="411">
        <f t="shared" ca="1" si="57"/>
        <v>0</v>
      </c>
      <c r="G57" s="411"/>
      <c r="H57" s="411"/>
      <c r="I57" s="411">
        <f t="shared" ref="I57:J57" ca="1" si="58">I51-I8</f>
        <v>0</v>
      </c>
      <c r="J57" s="411">
        <f t="shared" ca="1" si="58"/>
        <v>0</v>
      </c>
      <c r="K57" s="411">
        <f t="shared" ref="K57:AR57" ca="1" si="59">K51-K8</f>
        <v>0</v>
      </c>
      <c r="L57" s="411">
        <f t="shared" ca="1" si="59"/>
        <v>0</v>
      </c>
      <c r="M57" s="411">
        <f t="shared" ca="1" si="59"/>
        <v>0</v>
      </c>
      <c r="N57" s="411">
        <f t="shared" ca="1" si="59"/>
        <v>0</v>
      </c>
      <c r="O57" s="411">
        <f t="shared" ca="1" si="59"/>
        <v>0</v>
      </c>
      <c r="P57" s="411">
        <f t="shared" ca="1" si="59"/>
        <v>0</v>
      </c>
      <c r="Q57" s="411">
        <f t="shared" ca="1" si="59"/>
        <v>0</v>
      </c>
      <c r="R57" s="411">
        <f t="shared" ca="1" si="59"/>
        <v>0</v>
      </c>
      <c r="S57" s="411">
        <f t="shared" ca="1" si="59"/>
        <v>0</v>
      </c>
      <c r="T57" s="411">
        <f t="shared" ca="1" si="59"/>
        <v>0</v>
      </c>
      <c r="U57" s="411">
        <f t="shared" ca="1" si="59"/>
        <v>0</v>
      </c>
      <c r="V57" s="411">
        <f t="shared" ca="1" si="59"/>
        <v>0</v>
      </c>
      <c r="W57" s="411">
        <f t="shared" ca="1" si="59"/>
        <v>0</v>
      </c>
      <c r="X57" s="411">
        <f t="shared" ca="1" si="59"/>
        <v>0</v>
      </c>
      <c r="Y57" s="411">
        <f t="shared" ca="1" si="59"/>
        <v>0</v>
      </c>
      <c r="Z57" s="411">
        <f t="shared" ca="1" si="59"/>
        <v>0</v>
      </c>
      <c r="AA57" s="411">
        <f t="shared" ca="1" si="59"/>
        <v>0</v>
      </c>
      <c r="AB57" s="411">
        <f t="shared" ca="1" si="59"/>
        <v>0</v>
      </c>
      <c r="AC57" s="411">
        <f t="shared" ca="1" si="59"/>
        <v>0</v>
      </c>
      <c r="AD57" s="411">
        <f t="shared" ca="1" si="59"/>
        <v>0</v>
      </c>
      <c r="AE57" s="411">
        <f t="shared" ca="1" si="59"/>
        <v>0</v>
      </c>
      <c r="AF57" s="411">
        <f t="shared" ca="1" si="59"/>
        <v>0</v>
      </c>
      <c r="AG57" s="411">
        <f t="shared" ca="1" si="59"/>
        <v>0</v>
      </c>
      <c r="AH57" s="411">
        <f t="shared" ca="1" si="59"/>
        <v>0</v>
      </c>
      <c r="AI57" s="411">
        <f t="shared" ca="1" si="59"/>
        <v>0</v>
      </c>
      <c r="AJ57" s="411">
        <f t="shared" ca="1" si="59"/>
        <v>0</v>
      </c>
      <c r="AK57" s="411">
        <f t="shared" ca="1" si="59"/>
        <v>0</v>
      </c>
      <c r="AL57" s="411">
        <f t="shared" ca="1" si="59"/>
        <v>0</v>
      </c>
      <c r="AM57" s="411">
        <f t="shared" ca="1" si="59"/>
        <v>0</v>
      </c>
      <c r="AN57" s="411">
        <f t="shared" ca="1" si="59"/>
        <v>0</v>
      </c>
      <c r="AO57" s="411">
        <f t="shared" ca="1" si="59"/>
        <v>0</v>
      </c>
      <c r="AP57" s="411">
        <f t="shared" ca="1" si="59"/>
        <v>0</v>
      </c>
      <c r="AQ57" s="411">
        <f t="shared" ca="1" si="59"/>
        <v>0</v>
      </c>
      <c r="AR57" s="411">
        <f t="shared" ca="1" si="59"/>
        <v>0</v>
      </c>
    </row>
    <row r="58" spans="1:53">
      <c r="D58" s="411">
        <f t="shared" ref="D58:F58" ca="1" si="60">SUM(D11,D14,D18:D20,D23:D24,D26,D29:D30,D33:D42,D48:D50)</f>
        <v>0</v>
      </c>
      <c r="E58" s="411">
        <f t="shared" ca="1" si="60"/>
        <v>0</v>
      </c>
      <c r="F58" s="411">
        <f t="shared" ca="1" si="60"/>
        <v>0</v>
      </c>
      <c r="G58" s="411"/>
      <c r="H58" s="411"/>
      <c r="I58" s="411">
        <f t="shared" ref="I58:J58" ca="1" si="61">SUM(I11,I14,I18:I20,I23:I24,I26,I29:I30,I33:I42,I48:I50)</f>
        <v>0</v>
      </c>
      <c r="J58" s="411">
        <f t="shared" ca="1" si="61"/>
        <v>0</v>
      </c>
      <c r="K58" s="411">
        <f t="shared" ref="K58:AR58" ca="1" si="62">SUM(K11,K14,K18:K20,K23:K24,K26,K29:K30,K33:K42,K48:K50)</f>
        <v>0</v>
      </c>
      <c r="L58" s="411">
        <f t="shared" ca="1" si="62"/>
        <v>0</v>
      </c>
      <c r="M58" s="411">
        <f t="shared" ca="1" si="62"/>
        <v>0</v>
      </c>
      <c r="N58" s="411">
        <f t="shared" ca="1" si="62"/>
        <v>0</v>
      </c>
      <c r="O58" s="411">
        <f t="shared" ca="1" si="62"/>
        <v>0</v>
      </c>
      <c r="P58" s="411">
        <f t="shared" ca="1" si="62"/>
        <v>0</v>
      </c>
      <c r="Q58" s="411">
        <f t="shared" ca="1" si="62"/>
        <v>0</v>
      </c>
      <c r="R58" s="411">
        <f t="shared" ca="1" si="62"/>
        <v>0</v>
      </c>
      <c r="S58" s="411">
        <f t="shared" ca="1" si="62"/>
        <v>0</v>
      </c>
      <c r="T58" s="411">
        <f t="shared" ca="1" si="62"/>
        <v>0</v>
      </c>
      <c r="U58" s="411">
        <f t="shared" ca="1" si="62"/>
        <v>0</v>
      </c>
      <c r="V58" s="411">
        <f t="shared" ca="1" si="62"/>
        <v>0</v>
      </c>
      <c r="W58" s="411">
        <f t="shared" ca="1" si="62"/>
        <v>0</v>
      </c>
      <c r="X58" s="411">
        <f t="shared" ca="1" si="62"/>
        <v>0</v>
      </c>
      <c r="Y58" s="411">
        <f t="shared" ca="1" si="62"/>
        <v>0</v>
      </c>
      <c r="Z58" s="411">
        <f t="shared" ca="1" si="62"/>
        <v>0</v>
      </c>
      <c r="AA58" s="411">
        <f t="shared" ca="1" si="62"/>
        <v>0</v>
      </c>
      <c r="AB58" s="411">
        <f t="shared" ca="1" si="62"/>
        <v>0</v>
      </c>
      <c r="AC58" s="411">
        <f t="shared" ca="1" si="62"/>
        <v>0</v>
      </c>
      <c r="AD58" s="411">
        <f t="shared" ca="1" si="62"/>
        <v>0</v>
      </c>
      <c r="AE58" s="411">
        <f t="shared" ca="1" si="62"/>
        <v>0</v>
      </c>
      <c r="AF58" s="411">
        <f t="shared" ca="1" si="62"/>
        <v>0</v>
      </c>
      <c r="AG58" s="411">
        <f t="shared" ca="1" si="62"/>
        <v>0</v>
      </c>
      <c r="AH58" s="411">
        <f t="shared" ca="1" si="62"/>
        <v>0</v>
      </c>
      <c r="AI58" s="411">
        <f t="shared" ca="1" si="62"/>
        <v>0</v>
      </c>
      <c r="AJ58" s="411">
        <f t="shared" ca="1" si="62"/>
        <v>0</v>
      </c>
      <c r="AK58" s="411">
        <f t="shared" ca="1" si="62"/>
        <v>0</v>
      </c>
      <c r="AL58" s="411">
        <f t="shared" ca="1" si="62"/>
        <v>0</v>
      </c>
      <c r="AM58" s="411">
        <f t="shared" ca="1" si="62"/>
        <v>0</v>
      </c>
      <c r="AN58" s="411">
        <f t="shared" ca="1" si="62"/>
        <v>0</v>
      </c>
      <c r="AO58" s="411">
        <f t="shared" ca="1" si="62"/>
        <v>0</v>
      </c>
      <c r="AP58" s="411">
        <f t="shared" ca="1" si="62"/>
        <v>0</v>
      </c>
      <c r="AQ58" s="411">
        <f t="shared" ca="1" si="62"/>
        <v>0</v>
      </c>
      <c r="AR58" s="411">
        <f t="shared" ca="1" si="62"/>
        <v>0</v>
      </c>
    </row>
    <row r="59" spans="1:53">
      <c r="J59" s="437"/>
    </row>
  </sheetData>
  <conditionalFormatting sqref="I18:T19">
    <cfRule type="cellIs" dxfId="94" priority="112" operator="equal">
      <formula>0</formula>
    </cfRule>
  </conditionalFormatting>
  <conditionalFormatting sqref="I16:T16 I13:T13 I30:T30 I36:T36 I23:T24 I26:T28 I20:T20">
    <cfRule type="cellIs" dxfId="93" priority="111" operator="equal">
      <formula>0</formula>
    </cfRule>
  </conditionalFormatting>
  <conditionalFormatting sqref="I17:T17">
    <cfRule type="cellIs" dxfId="92" priority="110" operator="equal">
      <formula>0</formula>
    </cfRule>
  </conditionalFormatting>
  <conditionalFormatting sqref="I25:AR25">
    <cfRule type="cellIs" dxfId="91" priority="108" operator="equal">
      <formula>0</formula>
    </cfRule>
  </conditionalFormatting>
  <conditionalFormatting sqref="I52:T52">
    <cfRule type="cellIs" dxfId="90" priority="107" operator="equal">
      <formula>0</formula>
    </cfRule>
  </conditionalFormatting>
  <conditionalFormatting sqref="I7:T7">
    <cfRule type="cellIs" dxfId="89" priority="106" operator="equal">
      <formula>0</formula>
    </cfRule>
  </conditionalFormatting>
  <conditionalFormatting sqref="I33:T34">
    <cfRule type="cellIs" dxfId="88" priority="104" operator="equal">
      <formula>0</formula>
    </cfRule>
  </conditionalFormatting>
  <conditionalFormatting sqref="I35:T35">
    <cfRule type="cellIs" dxfId="87" priority="103" operator="equal">
      <formula>0</formula>
    </cfRule>
  </conditionalFormatting>
  <conditionalFormatting sqref="I37:T41">
    <cfRule type="cellIs" dxfId="86" priority="102" operator="equal">
      <formula>0</formula>
    </cfRule>
  </conditionalFormatting>
  <conditionalFormatting sqref="I43:T48 I50:T50">
    <cfRule type="cellIs" dxfId="85" priority="101" operator="equal">
      <formula>0</formula>
    </cfRule>
  </conditionalFormatting>
  <conditionalFormatting sqref="D7">
    <cfRule type="cellIs" dxfId="84" priority="99" operator="equal">
      <formula>0</formula>
    </cfRule>
  </conditionalFormatting>
  <conditionalFormatting sqref="E7">
    <cfRule type="cellIs" dxfId="83" priority="98" operator="equal">
      <formula>0</formula>
    </cfRule>
  </conditionalFormatting>
  <conditionalFormatting sqref="F7">
    <cfRule type="cellIs" dxfId="82" priority="97" operator="equal">
      <formula>0</formula>
    </cfRule>
  </conditionalFormatting>
  <conditionalFormatting sqref="G7:H7">
    <cfRule type="cellIs" dxfId="81" priority="96" operator="equal">
      <formula>0</formula>
    </cfRule>
  </conditionalFormatting>
  <conditionalFormatting sqref="G8:H8">
    <cfRule type="cellIs" dxfId="80" priority="95" operator="equal">
      <formula>0</formula>
    </cfRule>
  </conditionalFormatting>
  <conditionalFormatting sqref="D16 D13 D30 D24 D27:D28">
    <cfRule type="cellIs" dxfId="79" priority="91" operator="equal">
      <formula>0</formula>
    </cfRule>
  </conditionalFormatting>
  <conditionalFormatting sqref="I9:T9">
    <cfRule type="cellIs" dxfId="78" priority="94" operator="equal">
      <formula>0</formula>
    </cfRule>
  </conditionalFormatting>
  <conditionalFormatting sqref="I11:T11">
    <cfRule type="cellIs" dxfId="77" priority="93" operator="equal">
      <formula>0</formula>
    </cfRule>
  </conditionalFormatting>
  <conditionalFormatting sqref="I10:T10">
    <cfRule type="cellIs" dxfId="76" priority="92" operator="equal">
      <formula>0</formula>
    </cfRule>
  </conditionalFormatting>
  <conditionalFormatting sqref="D25">
    <cfRule type="cellIs" dxfId="75" priority="89" operator="equal">
      <formula>0</formula>
    </cfRule>
  </conditionalFormatting>
  <conditionalFormatting sqref="D52">
    <cfRule type="cellIs" dxfId="74" priority="88" operator="equal">
      <formula>0</formula>
    </cfRule>
  </conditionalFormatting>
  <conditionalFormatting sqref="D31:D32">
    <cfRule type="cellIs" dxfId="73" priority="87" operator="equal">
      <formula>0</formula>
    </cfRule>
  </conditionalFormatting>
  <conditionalFormatting sqref="G53:H53">
    <cfRule type="cellIs" dxfId="72" priority="29" operator="equal">
      <formula>0</formula>
    </cfRule>
  </conditionalFormatting>
  <conditionalFormatting sqref="D33:D50">
    <cfRule type="cellIs" dxfId="71" priority="83" operator="equal">
      <formula>0</formula>
    </cfRule>
  </conditionalFormatting>
  <conditionalFormatting sqref="D29">
    <cfRule type="cellIs" dxfId="70" priority="82" operator="equal">
      <formula>0</formula>
    </cfRule>
  </conditionalFormatting>
  <conditionalFormatting sqref="D11">
    <cfRule type="cellIs" dxfId="69" priority="80" operator="equal">
      <formula>0</formula>
    </cfRule>
  </conditionalFormatting>
  <conditionalFormatting sqref="D10">
    <cfRule type="cellIs" dxfId="68" priority="79" operator="equal">
      <formula>0</formula>
    </cfRule>
  </conditionalFormatting>
  <conditionalFormatting sqref="E16:F16 E13:F13 E24:F24 E27:F28">
    <cfRule type="cellIs" dxfId="67" priority="78" operator="equal">
      <formula>0</formula>
    </cfRule>
  </conditionalFormatting>
  <conditionalFormatting sqref="E17:F17">
    <cfRule type="cellIs" dxfId="66" priority="77" operator="equal">
      <formula>0</formula>
    </cfRule>
  </conditionalFormatting>
  <conditionalFormatting sqref="E25:F25">
    <cfRule type="cellIs" dxfId="65" priority="76" operator="equal">
      <formula>0</formula>
    </cfRule>
  </conditionalFormatting>
  <conditionalFormatting sqref="E52:F52">
    <cfRule type="cellIs" dxfId="64" priority="75" operator="equal">
      <formula>0</formula>
    </cfRule>
  </conditionalFormatting>
  <conditionalFormatting sqref="U10:AR10">
    <cfRule type="cellIs" dxfId="63" priority="33" operator="equal">
      <formula>0</formula>
    </cfRule>
  </conditionalFormatting>
  <conditionalFormatting sqref="U29:AF29 AH29:AR29">
    <cfRule type="cellIs" dxfId="62" priority="36" operator="equal">
      <formula>0</formula>
    </cfRule>
  </conditionalFormatting>
  <conditionalFormatting sqref="U9:AR9">
    <cfRule type="cellIs" dxfId="61" priority="35" operator="equal">
      <formula>0</formula>
    </cfRule>
  </conditionalFormatting>
  <conditionalFormatting sqref="U11:AR11">
    <cfRule type="cellIs" dxfId="60" priority="34" operator="equal">
      <formula>0</formula>
    </cfRule>
  </conditionalFormatting>
  <conditionalFormatting sqref="U42:AR42">
    <cfRule type="cellIs" dxfId="59" priority="32" operator="equal">
      <formula>0</formula>
    </cfRule>
  </conditionalFormatting>
  <conditionalFormatting sqref="U21:AR21">
    <cfRule type="cellIs" dxfId="58" priority="31" operator="equal">
      <formula>0</formula>
    </cfRule>
  </conditionalFormatting>
  <conditionalFormatting sqref="U14:AR14">
    <cfRule type="cellIs" dxfId="57" priority="30" operator="equal">
      <formula>0</formula>
    </cfRule>
  </conditionalFormatting>
  <conditionalFormatting sqref="E29:F50">
    <cfRule type="cellIs" dxfId="56" priority="70" operator="equal">
      <formula>0</formula>
    </cfRule>
  </conditionalFormatting>
  <conditionalFormatting sqref="E9:F9">
    <cfRule type="cellIs" dxfId="55" priority="68" operator="equal">
      <formula>0</formula>
    </cfRule>
  </conditionalFormatting>
  <conditionalFormatting sqref="E11:F11">
    <cfRule type="cellIs" dxfId="54" priority="67" operator="equal">
      <formula>0</formula>
    </cfRule>
  </conditionalFormatting>
  <conditionalFormatting sqref="E10:F10">
    <cfRule type="cellIs" dxfId="53" priority="66" operator="equal">
      <formula>0</formula>
    </cfRule>
  </conditionalFormatting>
  <conditionalFormatting sqref="I42:T42">
    <cfRule type="cellIs" dxfId="52" priority="63" operator="equal">
      <formula>0</formula>
    </cfRule>
  </conditionalFormatting>
  <conditionalFormatting sqref="D22:F22">
    <cfRule type="cellIs" dxfId="51" priority="60" operator="equal">
      <formula>0</formula>
    </cfRule>
  </conditionalFormatting>
  <conditionalFormatting sqref="D14">
    <cfRule type="cellIs" dxfId="50" priority="58" operator="equal">
      <formula>0</formula>
    </cfRule>
  </conditionalFormatting>
  <conditionalFormatting sqref="E14:F14">
    <cfRule type="cellIs" dxfId="49" priority="57" operator="equal">
      <formula>0</formula>
    </cfRule>
  </conditionalFormatting>
  <conditionalFormatting sqref="G12:H12">
    <cfRule type="cellIs" dxfId="48" priority="56" operator="equal">
      <formula>0</formula>
    </cfRule>
  </conditionalFormatting>
  <conditionalFormatting sqref="G15:H15">
    <cfRule type="cellIs" dxfId="47" priority="55" operator="equal">
      <formula>0</formula>
    </cfRule>
  </conditionalFormatting>
  <conditionalFormatting sqref="G51:H51">
    <cfRule type="cellIs" dxfId="46" priority="54" operator="equal">
      <formula>0</formula>
    </cfRule>
  </conditionalFormatting>
  <conditionalFormatting sqref="E21:F21">
    <cfRule type="cellIs" dxfId="45" priority="50" operator="equal">
      <formula>0</formula>
    </cfRule>
  </conditionalFormatting>
  <conditionalFormatting sqref="G54:H54">
    <cfRule type="cellIs" dxfId="44" priority="53" operator="equal">
      <formula>0</formula>
    </cfRule>
  </conditionalFormatting>
  <conditionalFormatting sqref="I21:T21">
    <cfRule type="cellIs" dxfId="43" priority="52" operator="equal">
      <formula>0</formula>
    </cfRule>
  </conditionalFormatting>
  <conditionalFormatting sqref="D21">
    <cfRule type="cellIs" dxfId="42" priority="51" operator="equal">
      <formula>0</formula>
    </cfRule>
  </conditionalFormatting>
  <conditionalFormatting sqref="I14:T14">
    <cfRule type="cellIs" dxfId="41" priority="49" operator="equal">
      <formula>0</formula>
    </cfRule>
  </conditionalFormatting>
  <conditionalFormatting sqref="U18:AR19">
    <cfRule type="cellIs" dxfId="40" priority="48" operator="equal">
      <formula>0</formula>
    </cfRule>
  </conditionalFormatting>
  <conditionalFormatting sqref="U16:AR16 U13:AR13 U30:AR30 U23:AR24 U20:AR20 U26:AR28 U36:AR36">
    <cfRule type="cellIs" dxfId="39" priority="47" operator="equal">
      <formula>0</formula>
    </cfRule>
  </conditionalFormatting>
  <conditionalFormatting sqref="U17:AR17">
    <cfRule type="cellIs" dxfId="38" priority="46" operator="equal">
      <formula>0</formula>
    </cfRule>
  </conditionalFormatting>
  <conditionalFormatting sqref="U22:AR22">
    <cfRule type="cellIs" dxfId="37" priority="45" operator="equal">
      <formula>0</formula>
    </cfRule>
  </conditionalFormatting>
  <conditionalFormatting sqref="U52:AR52">
    <cfRule type="cellIs" dxfId="36" priority="43" operator="equal">
      <formula>0</formula>
    </cfRule>
  </conditionalFormatting>
  <conditionalFormatting sqref="U7:AR7">
    <cfRule type="cellIs" dxfId="35" priority="42" operator="equal">
      <formula>0</formula>
    </cfRule>
  </conditionalFormatting>
  <conditionalFormatting sqref="U31:AF32 AH31:AR32">
    <cfRule type="cellIs" dxfId="34" priority="41" operator="equal">
      <formula>0</formula>
    </cfRule>
  </conditionalFormatting>
  <conditionalFormatting sqref="U33:AF34 AH33:AR34">
    <cfRule type="cellIs" dxfId="33" priority="40" operator="equal">
      <formula>0</formula>
    </cfRule>
  </conditionalFormatting>
  <conditionalFormatting sqref="U35:AF35 AH35:AR35">
    <cfRule type="cellIs" dxfId="32" priority="39" operator="equal">
      <formula>0</formula>
    </cfRule>
  </conditionalFormatting>
  <conditionalFormatting sqref="U37:AF41 AH37:AR41">
    <cfRule type="cellIs" dxfId="31" priority="38" operator="equal">
      <formula>0</formula>
    </cfRule>
  </conditionalFormatting>
  <conditionalFormatting sqref="U43:AF48 AH43:AR48 AH50:AR50 U50:AF50">
    <cfRule type="cellIs" dxfId="30" priority="37" operator="equal">
      <formula>0</formula>
    </cfRule>
  </conditionalFormatting>
  <conditionalFormatting sqref="I22:T22">
    <cfRule type="cellIs" dxfId="29" priority="109" operator="equal">
      <formula>0</formula>
    </cfRule>
  </conditionalFormatting>
  <conditionalFormatting sqref="I31:T32">
    <cfRule type="cellIs" dxfId="28" priority="105" operator="equal">
      <formula>0</formula>
    </cfRule>
  </conditionalFormatting>
  <conditionalFormatting sqref="I29:T29">
    <cfRule type="cellIs" dxfId="27" priority="100" operator="equal">
      <formula>0</formula>
    </cfRule>
  </conditionalFormatting>
  <conditionalFormatting sqref="D17">
    <cfRule type="cellIs" dxfId="26" priority="90" operator="equal">
      <formula>0</formula>
    </cfRule>
  </conditionalFormatting>
  <conditionalFormatting sqref="D9">
    <cfRule type="cellIs" dxfId="25" priority="81" operator="equal">
      <formula>0</formula>
    </cfRule>
  </conditionalFormatting>
  <conditionalFormatting sqref="AG29">
    <cfRule type="cellIs" dxfId="24" priority="28" operator="equal">
      <formula>0</formula>
    </cfRule>
  </conditionalFormatting>
  <conditionalFormatting sqref="AG31">
    <cfRule type="cellIs" dxfId="23" priority="27" operator="equal">
      <formula>0</formula>
    </cfRule>
  </conditionalFormatting>
  <conditionalFormatting sqref="AG32">
    <cfRule type="cellIs" dxfId="22" priority="26" operator="equal">
      <formula>0</formula>
    </cfRule>
  </conditionalFormatting>
  <conditionalFormatting sqref="AG33">
    <cfRule type="cellIs" dxfId="21" priority="25" operator="equal">
      <formula>0</formula>
    </cfRule>
  </conditionalFormatting>
  <conditionalFormatting sqref="AG34">
    <cfRule type="cellIs" dxfId="20" priority="24" operator="equal">
      <formula>0</formula>
    </cfRule>
  </conditionalFormatting>
  <conditionalFormatting sqref="AG35">
    <cfRule type="cellIs" dxfId="19" priority="23" operator="equal">
      <formula>0</formula>
    </cfRule>
  </conditionalFormatting>
  <conditionalFormatting sqref="AG37">
    <cfRule type="cellIs" dxfId="18" priority="22" operator="equal">
      <formula>0</formula>
    </cfRule>
  </conditionalFormatting>
  <conditionalFormatting sqref="AG38">
    <cfRule type="cellIs" dxfId="17" priority="21" operator="equal">
      <formula>0</formula>
    </cfRule>
  </conditionalFormatting>
  <conditionalFormatting sqref="AG39">
    <cfRule type="cellIs" dxfId="16" priority="20" operator="equal">
      <formula>0</formula>
    </cfRule>
  </conditionalFormatting>
  <conditionalFormatting sqref="AG40">
    <cfRule type="cellIs" dxfId="15" priority="19" operator="equal">
      <formula>0</formula>
    </cfRule>
  </conditionalFormatting>
  <conditionalFormatting sqref="AG41">
    <cfRule type="cellIs" dxfId="14" priority="18" operator="equal">
      <formula>0</formula>
    </cfRule>
  </conditionalFormatting>
  <conditionalFormatting sqref="AG43">
    <cfRule type="cellIs" dxfId="13" priority="17" operator="equal">
      <formula>0</formula>
    </cfRule>
  </conditionalFormatting>
  <conditionalFormatting sqref="AG44">
    <cfRule type="cellIs" dxfId="12" priority="16" operator="equal">
      <formula>0</formula>
    </cfRule>
  </conditionalFormatting>
  <conditionalFormatting sqref="AG45">
    <cfRule type="cellIs" dxfId="11" priority="15" operator="equal">
      <formula>0</formula>
    </cfRule>
  </conditionalFormatting>
  <conditionalFormatting sqref="AG46">
    <cfRule type="cellIs" dxfId="10" priority="14" operator="equal">
      <formula>0</formula>
    </cfRule>
  </conditionalFormatting>
  <conditionalFormatting sqref="AG47">
    <cfRule type="cellIs" dxfId="9" priority="13" operator="equal">
      <formula>0</formula>
    </cfRule>
  </conditionalFormatting>
  <conditionalFormatting sqref="AG48">
    <cfRule type="cellIs" dxfId="8" priority="12" operator="equal">
      <formula>0</formula>
    </cfRule>
  </conditionalFormatting>
  <conditionalFormatting sqref="AG50">
    <cfRule type="cellIs" dxfId="7" priority="10" operator="equal">
      <formula>0</formula>
    </cfRule>
  </conditionalFormatting>
  <conditionalFormatting sqref="I49:AR49">
    <cfRule type="cellIs" dxfId="6" priority="9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E26:F26">
    <cfRule type="cellIs" dxfId="4" priority="5" operator="equal">
      <formula>0</formula>
    </cfRule>
  </conditionalFormatting>
  <conditionalFormatting sqref="D23">
    <cfRule type="cellIs" dxfId="3" priority="4" operator="equal">
      <formula>0</formula>
    </cfRule>
  </conditionalFormatting>
  <conditionalFormatting sqref="E23:F23">
    <cfRule type="cellIs" dxfId="2" priority="3" operator="equal">
      <formula>0</formula>
    </cfRule>
  </conditionalFormatting>
  <conditionalFormatting sqref="D18:D20">
    <cfRule type="cellIs" dxfId="1" priority="2" operator="equal">
      <formula>0</formula>
    </cfRule>
  </conditionalFormatting>
  <conditionalFormatting sqref="E18:F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Инструкция</vt:lpstr>
      <vt:lpstr>Сравнение Рх показателей</vt:lpstr>
      <vt:lpstr>Вводные</vt:lpstr>
      <vt:lpstr>Total_fin</vt:lpstr>
      <vt:lpstr>Summary_офт-фарма</vt:lpstr>
      <vt:lpstr>PL OFT_2</vt:lpstr>
      <vt:lpstr>Revenue OFT_2</vt:lpstr>
      <vt:lpstr>Payroll_OFT_2</vt:lpstr>
      <vt:lpstr>PL Optic_2</vt:lpstr>
      <vt:lpstr>Revenue_Optic_2</vt:lpstr>
      <vt:lpstr>Payroll_Optic_2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Нор</dc:creator>
  <cp:lastModifiedBy>Анна Тоскучева</cp:lastModifiedBy>
  <dcterms:created xsi:type="dcterms:W3CDTF">2015-11-09T05:46:17Z</dcterms:created>
  <dcterms:modified xsi:type="dcterms:W3CDTF">2022-10-11T09:09:00Z</dcterms:modified>
</cp:coreProperties>
</file>